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H:\Working File\HR\"/>
    </mc:Choice>
  </mc:AlternateContent>
  <xr:revisionPtr revIDLastSave="0" documentId="8_{FD552CC8-0E02-44AE-8E50-0F582A3FA03C}" xr6:coauthVersionLast="47" xr6:coauthVersionMax="47"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expenses'!$A$1:$E$28</definedName>
    <definedName name="_xlnm.Print_Area" localSheetId="5">'Gifts and benefits'!$A$1:$F$29</definedName>
    <definedName name="_xlnm.Print_Area" localSheetId="0">'Guidance for agencies'!$A$1:$A$58</definedName>
    <definedName name="_xlnm.Print_Area" localSheetId="3">Hospitality!$A$1:$E$25</definedName>
    <definedName name="_xlnm.Print_Area" localSheetId="1">'Summary and sign-off'!$A$1:$F$23</definedName>
    <definedName name="_xlnm.Print_Area" localSheetId="2">Travel!$A$1:$E$133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2" i="1" l="1"/>
  <c r="B37" i="1"/>
  <c r="B40" i="1"/>
  <c r="B49" i="1"/>
  <c r="B53" i="1"/>
  <c r="B30" i="1"/>
  <c r="B31" i="1"/>
  <c r="B97" i="1"/>
  <c r="B92" i="1"/>
  <c r="B90" i="1"/>
  <c r="B87" i="1"/>
  <c r="B41" i="1"/>
  <c r="B17" i="1" l="1"/>
  <c r="B15" i="1"/>
  <c r="B16" i="1"/>
  <c r="B105" i="1"/>
  <c r="B96" i="1"/>
  <c r="B86" i="1"/>
  <c r="B77" i="1"/>
  <c r="B65" i="1"/>
  <c r="B56" i="1"/>
  <c r="B51" i="1"/>
  <c r="B103" i="1"/>
  <c r="B14" i="1"/>
  <c r="B94" i="1"/>
  <c r="D18" i="4" l="1"/>
  <c r="C22" i="3"/>
  <c r="C18" i="2"/>
  <c r="C111" i="1"/>
  <c r="C122" i="1"/>
  <c r="C22" i="1"/>
  <c r="B6" i="13" l="1"/>
  <c r="E60" i="13"/>
  <c r="C60" i="13"/>
  <c r="C20" i="4"/>
  <c r="C19" i="4"/>
  <c r="B60" i="13" l="1"/>
  <c r="B59" i="13"/>
  <c r="D59" i="13"/>
  <c r="B58" i="13"/>
  <c r="D58" i="13"/>
  <c r="D57" i="13"/>
  <c r="B57" i="13"/>
  <c r="D56" i="13"/>
  <c r="B56" i="13"/>
  <c r="D55" i="13"/>
  <c r="B55" i="13"/>
  <c r="B2" i="4"/>
  <c r="B3" i="4"/>
  <c r="B2" i="3"/>
  <c r="B3" i="3"/>
  <c r="B2" i="2"/>
  <c r="B3" i="2"/>
  <c r="B2" i="1"/>
  <c r="B3" i="1"/>
  <c r="F58" i="13" l="1"/>
  <c r="D18" i="2" s="1"/>
  <c r="F60" i="13"/>
  <c r="E18" i="4" s="1"/>
  <c r="F59" i="13"/>
  <c r="D22" i="3" s="1"/>
  <c r="F57" i="13"/>
  <c r="D122" i="1" s="1"/>
  <c r="F56" i="13"/>
  <c r="D111" i="1" s="1"/>
  <c r="F55" i="13"/>
  <c r="D22" i="1" s="1"/>
  <c r="C13" i="13"/>
  <c r="C12" i="13"/>
  <c r="C11" i="13"/>
  <c r="C16" i="13" l="1"/>
  <c r="C17" i="13"/>
  <c r="B5" i="4" l="1"/>
  <c r="B4" i="4"/>
  <c r="B5" i="3"/>
  <c r="B4" i="3"/>
  <c r="B5" i="2"/>
  <c r="B4" i="2"/>
  <c r="B5" i="1"/>
  <c r="B4" i="1"/>
  <c r="C15" i="13" l="1"/>
  <c r="F12" i="13" l="1"/>
  <c r="C18" i="4"/>
  <c r="F11" i="13" s="1"/>
  <c r="F13" i="13" l="1"/>
  <c r="B122" i="1"/>
  <c r="B17" i="13" s="1"/>
  <c r="B111" i="1"/>
  <c r="B16" i="13" s="1"/>
  <c r="B22" i="1"/>
  <c r="B15" i="13" s="1"/>
  <c r="B22" i="3" l="1"/>
  <c r="B13" i="13" s="1"/>
  <c r="B18" i="2"/>
  <c r="B12" i="13" s="1"/>
  <c r="B11" i="13" l="1"/>
  <c r="B1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1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<sst xmlns="http://schemas.openxmlformats.org/spreadsheetml/2006/main" count="601" uniqueCount="302">
  <si>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</si>
  <si>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</si>
  <si>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</si>
  <si>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</si>
  <si>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</si>
  <si>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</si>
  <si>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</si>
  <si>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</si>
  <si>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</si>
  <si>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</si>
  <si>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</si>
  <si>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</si>
  <si>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</si>
  <si>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</si>
  <si>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</si>
  <si>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</si>
  <si>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</si>
  <si>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</si>
  <si>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</si>
  <si>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</si>
  <si>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</si>
  <si>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</si>
  <si>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</si>
  <si>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</si>
  <si>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</si>
  <si>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</si>
  <si>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</si>
  <si>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</si>
  <si>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</si>
  <si>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</si>
  <si>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</si>
  <si>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</si>
  <si>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</si>
  <si>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</si>
  <si>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</si>
  <si>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</si>
  <si>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</si>
  <si>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</si>
  <si>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</si>
  <si>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</si>
  <si>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</si>
  <si>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</si>
  <si>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</si>
  <si>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</si>
  <si>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</si>
  <si>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</si>
  <si>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</si>
  <si>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</si>
  <si>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</si>
  <si>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</si>
  <si>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</si>
  <si>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</si>
  <si>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</si>
  <si>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</si>
  <si>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</si>
  <si>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</si>
  <si>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</si>
  <si>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</si>
  <si>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</si>
  <si>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</si>
  <si>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</si>
  <si>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</si>
  <si>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</si>
  <si>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</si>
  <si>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</si>
  <si>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</si>
  <si>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</si>
  <si>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</si>
  <si>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</si>
  <si>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</si>
  <si>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</si>
  <si>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</si>
  <si>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</si>
  <si>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</si>
  <si>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</si>
  <si>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</si>
  <si>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</si>
  <si>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</si>
  <si>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</si>
  <si>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</si>
  <si>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</si>
  <si>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</si>
  <si>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</si>
  <si>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</si>
  <si>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</si>
  <si>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</si>
  <si>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</si>
  <si>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</si>
  <si>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</si>
  <si>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</si>
  <si>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</si>
  <si>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</si>
  <si>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</si>
  <si>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</si>
  <si>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</si>
  <si>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</si>
  <si>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</si>
  <si>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</si>
  <si>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</si>
  <si>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</si>
  <si>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</si>
  <si>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</si>
  <si>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</si>
  <si>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</si>
  <si>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</si>
  <si>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</si>
  <si>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</si>
  <si>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</si>
  <si>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</si>
  <si>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</si>
  <si>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</si>
  <si>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</si>
  <si>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</si>
  <si>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</si>
  <si>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</si>
  <si>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</si>
  <si>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</si>
  <si>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</si>
  <si>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</si>
  <si>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</si>
  <si>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</si>
  <si>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</si>
  <si>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</si>
  <si>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</si>
  <si>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</si>
  <si>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</si>
  <si>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</si>
  <si>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</si>
  <si>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</si>
  <si>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</si>
  <si>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</si>
  <si>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</si>
  <si>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</si>
  <si>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</si>
  <si>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</si>
  <si>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</si>
  <si>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</si>
  <si>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</si>
  <si>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</si>
  <si>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</si>
  <si>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</si>
  <si>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</si>
  <si>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</si>
  <si>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</si>
  <si>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</si>
  <si>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</si>
  <si>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</si>
  <si>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</si>
  <si>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</si>
  <si>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</si>
  <si>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</si>
  <si>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</si>
  <si>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</si>
  <si>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</si>
  <si>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</si>
  <si>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</si>
  <si>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</si>
  <si>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</si>
  <si>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</si>
  <si>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</si>
  <si>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</si>
  <si>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</si>
  <si>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</si>
  <si>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</si>
  <si>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</si>
  <si>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</si>
  <si>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</si>
  <si>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</si>
  <si>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</si>
  <si>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Southern District Health Board</t>
  </si>
  <si>
    <t>Chris Fleming</t>
  </si>
  <si>
    <t>Accommodation</t>
  </si>
  <si>
    <t>Flights</t>
  </si>
  <si>
    <t>Wellington</t>
  </si>
  <si>
    <t>Queenstown</t>
  </si>
  <si>
    <t>Auckland</t>
  </si>
  <si>
    <t>Invercargill</t>
  </si>
  <si>
    <t>Christchurch</t>
  </si>
  <si>
    <t>Accommodation in Wellington while attending the above meetings</t>
  </si>
  <si>
    <t>Fees related to cancelled trip to Invercargill for Southern DHB Governance Meetings at Southland Hospital</t>
  </si>
  <si>
    <t>Accommodation in Invercargill while visting Southland Hospital</t>
  </si>
  <si>
    <t>Accommodation in Auckland while attending above course</t>
  </si>
  <si>
    <t>Meals</t>
  </si>
  <si>
    <t>Mobile phone and iPad data plans</t>
  </si>
  <si>
    <t>Phone and data costs</t>
  </si>
  <si>
    <t>7-8 October 2021</t>
  </si>
  <si>
    <t>Taxi fares while in Wellington to attend DHB meetings at TAS</t>
  </si>
  <si>
    <t>16-17 February 2022</t>
  </si>
  <si>
    <t>Taxi fares while in Wellington to attend above meetings</t>
  </si>
  <si>
    <t>9-11 March 2022</t>
  </si>
  <si>
    <t>Taxi fares in Auckland while attending above course</t>
  </si>
  <si>
    <t>Dunedin</t>
  </si>
  <si>
    <t>9-12 May 2022</t>
  </si>
  <si>
    <t xml:space="preserve">Taxi fare from Wakari Hospital to the University of Otago for meeting </t>
  </si>
  <si>
    <t xml:space="preserve">Taxi fare from Wakari Hospital to Aurora Energy for meeting </t>
  </si>
  <si>
    <t>Membership fees</t>
  </si>
  <si>
    <t>Accommodation in Wellington while attending above meetings</t>
  </si>
  <si>
    <t>Parking</t>
  </si>
  <si>
    <t>Meal while in Wellington attending above meetings</t>
  </si>
  <si>
    <t>Meal in Christchurch while attending above meetings</t>
  </si>
  <si>
    <t>20-21 February 2022</t>
  </si>
  <si>
    <t>Accommodation in Wellington while attending above meeting</t>
  </si>
  <si>
    <t>Taxi fares in Wellington while attending above meeting</t>
  </si>
  <si>
    <t>Meal while in Wellington attending above meeting</t>
  </si>
  <si>
    <t>Taxi fare in Christchurch while attending above meetings</t>
  </si>
  <si>
    <t>Accommodation in Christchurch while attending above meetings</t>
  </si>
  <si>
    <t>Meal while in Invercargill for above visit</t>
  </si>
  <si>
    <t>16-17 March 2022</t>
  </si>
  <si>
    <t>6-8 April 2022</t>
  </si>
  <si>
    <t>Meals while in Auckland attending above course</t>
  </si>
  <si>
    <t>Parking at Dunedin Airport while in Auckland attending above course</t>
  </si>
  <si>
    <t>Screen cover for iPhone</t>
  </si>
  <si>
    <t>Annual membership of Chartered Accountants Australia &amp; New Zealand</t>
  </si>
  <si>
    <t>Meals while in Invercargill attending above meetings</t>
  </si>
  <si>
    <t>Brisbane</t>
  </si>
  <si>
    <t>Supervised RAT for return travel to NZ</t>
  </si>
  <si>
    <t>Required test for travel to NZ</t>
  </si>
  <si>
    <t>Taxi fares in Wellington while attending above meetings</t>
  </si>
  <si>
    <t>Meals while in Wellington attending above meetings</t>
  </si>
  <si>
    <t>Meals while onsite at Southland Hospital</t>
  </si>
  <si>
    <t>30 August - 1 September 2021</t>
  </si>
  <si>
    <t>Christmas event for Executive Leadership Team</t>
  </si>
  <si>
    <t>Mileage</t>
  </si>
  <si>
    <t>Accommodation in Queenstown while attending above meetings</t>
  </si>
  <si>
    <t>Travel in personal vehicle - Dunedin to Invercargill and return to attend Southern DHB Governance Meetings at Southland Hospital</t>
  </si>
  <si>
    <t>Accomodation in Invercargill while attending above meetings</t>
  </si>
  <si>
    <t>Travel in personal vehicle - Dunedin to Invercargill and return to be Executive onsite at Southland Hospital</t>
  </si>
  <si>
    <t>Travel in personal vehicle - Dunedin to Balclutha and return to attend meeting with Clutha Health First</t>
  </si>
  <si>
    <t>Balclutha</t>
  </si>
  <si>
    <t>Travel in personal vehicle - Dunedin to Invercargill, Invercargill to Queenstown and Queenstown to Dunedin to attend meetings with staff at Southland Hospital, Learning Set Meeting in Queenstown and meetings with Queenstown stakeholders</t>
  </si>
  <si>
    <t>Taxi fare while in Wellington attending above meetings</t>
  </si>
  <si>
    <t>12-14 July 2021</t>
  </si>
  <si>
    <t>Note: all other costs related to this trip were included in the previous years' expense disclosure</t>
  </si>
  <si>
    <t>2-3 August 2021</t>
  </si>
  <si>
    <t>Meal while in Queenstown attending above meeting</t>
  </si>
  <si>
    <t>Flights Dunedin to Christchurch to attend South Island Alliance Leadership Team and Board Meetings</t>
  </si>
  <si>
    <t>Travel keyboard for use with laptop</t>
  </si>
  <si>
    <t>19-22 June 2022</t>
  </si>
  <si>
    <t>Parking at Dunedin Airport while in Wellington attending above meeting</t>
  </si>
  <si>
    <t>Taxi fare in Wellington while attending above meeting</t>
  </si>
  <si>
    <t>Accommodation while in Wellington attending above meeting</t>
  </si>
  <si>
    <t>Course costs for courses at The University of Auckland in April and May 2022</t>
  </si>
  <si>
    <t xml:space="preserve">Coaching by Institute for Strategic Leadership </t>
  </si>
  <si>
    <t>Supplies</t>
  </si>
  <si>
    <t>Training programme fees</t>
  </si>
  <si>
    <t>1 July 2021 to 30 June 2022</t>
  </si>
  <si>
    <t>Annual membership of Cross Tasman Executive Learning Set Programme ($AUD9,950)</t>
  </si>
  <si>
    <t>NZ and Australia</t>
  </si>
  <si>
    <t>NZ</t>
  </si>
  <si>
    <t>Dinner for 18 people</t>
  </si>
  <si>
    <t>Taxi fare in Auckland while attending the Opening of the Research and Development in Aged Residential Care and Retirement Villages Conference</t>
  </si>
  <si>
    <t>Accomodation (5x nights)</t>
  </si>
  <si>
    <t>Brisbane / Christchurch / Auckland</t>
  </si>
  <si>
    <t>Brisbane / Christchurch</t>
  </si>
  <si>
    <t>24-29 May 2022</t>
  </si>
  <si>
    <t>Flights Dunedin to Christchurch, Christchurch to Wellington and Wellington to Dunedin to attend South Island Alliance Leadership Team and Board Meetings (Christchurch) and Home &amp; Community Support Services, Health of Older People Steering Group and Joint Aged Residential Care Steering Group Meetings (Wellington)</t>
  </si>
  <si>
    <t>Taxi fares in Brisbane and Christchurch will attending above meeting and travelling</t>
  </si>
  <si>
    <t>Meals while in Brisbane for above meeting and travelling</t>
  </si>
  <si>
    <t>Accommodation 1x night in Christchurch, 1x night in Auckland and 3x nights in Brisbane while attending above meeting and travelling</t>
  </si>
  <si>
    <t>Flights Hamilton to Brisbane and Brisbane to Dunedin to attend Learning Set Meeting</t>
  </si>
  <si>
    <t>Parking at Dunedin Airport while in Brisbane attending above meeting and travelling</t>
  </si>
  <si>
    <t>Accommodation (2x nights)</t>
  </si>
  <si>
    <t>Meals (for 3 staff)</t>
  </si>
  <si>
    <t>Travel in personal vehicle - Dunedin to Central Otago/Queenstown and Central Otago to attend meetings with Central Lakes Trust, Queenstown stakeholders, Lakes District Hospital staff and Central Otago Health Services Ltd, and then to Invercargill to be Executive onsite at Southland Hospital</t>
  </si>
  <si>
    <t>26-29 July 2021</t>
  </si>
  <si>
    <t>Taxi fares while in Christchurch for above meetings</t>
  </si>
  <si>
    <t>11-12 August 2021</t>
  </si>
  <si>
    <t>26-29 October 2021</t>
  </si>
  <si>
    <t>Flights Dunedin to Wellington return to attend National DHB Chief Executives', Chairs' &amp; Chief Executives' and DHB/ACC Strategic Partnership Group Meetings</t>
  </si>
  <si>
    <t>Flights Dunedin to Wellington return to attend Health of Older People Steering Group and Joint Aged Residential Care Steering Group Meetings</t>
  </si>
  <si>
    <t xml:space="preserve">Accommodation in Queenstown while attending above meetings </t>
  </si>
  <si>
    <t>12-13 December 2021</t>
  </si>
  <si>
    <t>Flights Dunedin to Christchurch return to attend South Island Alliance Leadership Team and Board Meetings</t>
  </si>
  <si>
    <t>Flights Dunedin to Wellington return to attend National DHB Chief Executives' and Chairs' &amp; Chief Executives' Meetings</t>
  </si>
  <si>
    <t>23-25 February 2022</t>
  </si>
  <si>
    <t>Flights Dunedin to Wellington return to attend Learning Set Meeting</t>
  </si>
  <si>
    <t>Parking at Dunedin Airport while in Wellington attending above meetings</t>
  </si>
  <si>
    <t>Flights Dunedin to Wellington return to attend Health of Older People Steering Group, Joint Aged Residential Care Steering Group and National DHB Chief Executives' Meetings</t>
  </si>
  <si>
    <t>Taxi fare in Wellington while attending above meetings</t>
  </si>
  <si>
    <t>Flights Dunedin to Auckland return to attend Leadership Course Part 1 at The University of Auckland</t>
  </si>
  <si>
    <t>Accommodation in Auckland while attending Leadership Course Part 2 at The University of Auckland</t>
  </si>
  <si>
    <t>20-22 April 2022</t>
  </si>
  <si>
    <t>2-3 May 2022</t>
  </si>
  <si>
    <t>Accommodation in Invercargill while attending Southern DHB Governance Meetings at Southland Hospital</t>
  </si>
  <si>
    <t>Fees related to cancelled trip to Queenstown for visit to Lakes District Hospital</t>
  </si>
  <si>
    <t>Flights Dunedin to Auckland return while attending Leadership Course at The University of Auckland</t>
  </si>
  <si>
    <t>Flights Dunedin to Wellington return to attend National DHB Chief Executives' Meeting</t>
  </si>
  <si>
    <t>15-16 June 2022</t>
  </si>
  <si>
    <t>Flights Dunedin to Christchurch and Christchurch to Invercargill to attend South Island Alliance Leadership Team and Board Meetings (Christchurch) and meetings on the Southland Hospital site</t>
  </si>
  <si>
    <t>Taxi fare in Invercargill while attending above meetings</t>
  </si>
  <si>
    <t>Accommodation while in Christchurch attending above meetings</t>
  </si>
  <si>
    <t>Taxi fares in Christchurch while attending above meetings</t>
  </si>
  <si>
    <t>Meal while in Invercargill attending above meetings</t>
  </si>
  <si>
    <t>Parking at Dunedin Airport while in Christchurch attending above meetings</t>
  </si>
  <si>
    <t>Central Otago / Queenstown / Invercargill</t>
  </si>
  <si>
    <t>Invercargill / Queenstown</t>
  </si>
  <si>
    <t>Fees related to cancelled trip to visit Auckland DHB</t>
  </si>
  <si>
    <t>Nil to be disclosed</t>
  </si>
  <si>
    <t>Board Chair of Southern DHB</t>
  </si>
  <si>
    <t>Accommodation (3x nights)</t>
  </si>
  <si>
    <t>Taxi Fares</t>
  </si>
  <si>
    <t>8-11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</si>
</sst>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left" vertical="center"/>
      <protection locked="0"/>
    </xf>
    <xf numFmtId="167" fontId="15" fillId="11" borderId="3" xfId="0" applyNumberFormat="1" applyFont="1" applyFill="1" applyBorder="1" applyAlignment="1" applyProtection="1">
      <alignment horizontal="left" vertical="top"/>
      <protection locked="0"/>
    </xf>
    <xf numFmtId="164" fontId="15" fillId="11" borderId="4" xfId="0" applyNumberFormat="1" applyFont="1" applyFill="1" applyBorder="1" applyAlignment="1" applyProtection="1">
      <alignment vertical="top" wrapText="1"/>
      <protection locked="0"/>
    </xf>
    <xf numFmtId="0" fontId="0" fillId="11" borderId="4" xfId="0" applyFont="1" applyFill="1" applyBorder="1" applyAlignment="1" applyProtection="1">
      <alignment vertical="top" wrapText="1"/>
      <protection locked="0"/>
    </xf>
    <xf numFmtId="0" fontId="0" fillId="11" borderId="5" xfId="0" applyFont="1" applyFill="1" applyBorder="1" applyAlignment="1" applyProtection="1">
      <alignment vertical="top" wrapText="1"/>
      <protection locked="0"/>
    </xf>
    <xf numFmtId="167" fontId="15" fillId="11" borderId="3" xfId="0" applyNumberFormat="1" applyFont="1" applyFill="1" applyBorder="1" applyAlignment="1" applyProtection="1">
      <alignment vertical="top"/>
      <protection locked="0"/>
    </xf>
    <xf numFmtId="0" fontId="15" fillId="11" borderId="4" xfId="0" applyFont="1" applyFill="1" applyBorder="1" applyAlignment="1" applyProtection="1">
      <alignment vertical="top" wrapText="1"/>
      <protection locked="0"/>
    </xf>
    <xf numFmtId="0" fontId="15" fillId="11" borderId="5" xfId="0" applyFont="1" applyFill="1" applyBorder="1" applyAlignment="1" applyProtection="1">
      <alignment vertical="top" wrapText="1"/>
      <protection locked="0"/>
    </xf>
    <xf numFmtId="0" fontId="0" fillId="11" borderId="0" xfId="0" applyFill="1" applyAlignment="1" applyProtection="1">
      <alignment vertical="top"/>
      <protection locked="0"/>
    </xf>
    <xf numFmtId="0" fontId="0" fillId="0" borderId="0" xfId="0" applyFill="1" applyAlignment="1" applyProtection="1">
      <alignment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5"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C18" sqref="C1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82" t="s">
        <v>51</v>
      </c>
      <c r="B1" s="182"/>
      <c r="C1" s="182"/>
      <c r="D1" s="182"/>
      <c r="E1" s="182"/>
      <c r="F1" s="182"/>
      <c r="G1" s="46"/>
      <c r="H1" s="46"/>
      <c r="I1" s="46"/>
      <c r="J1" s="46"/>
      <c r="K1" s="46"/>
    </row>
    <row r="2" spans="1:11" ht="21" customHeight="1" x14ac:dyDescent="0.2">
      <c r="A2" s="4" t="s">
        <v>52</v>
      </c>
      <c r="B2" s="183" t="s">
        <v>169</v>
      </c>
      <c r="C2" s="183"/>
      <c r="D2" s="183"/>
      <c r="E2" s="183"/>
      <c r="F2" s="183"/>
      <c r="G2" s="46"/>
      <c r="H2" s="46"/>
      <c r="I2" s="46"/>
      <c r="J2" s="46"/>
      <c r="K2" s="46"/>
    </row>
    <row r="3" spans="1:11" ht="21" customHeight="1" x14ac:dyDescent="0.2">
      <c r="A3" s="4" t="s">
        <v>53</v>
      </c>
      <c r="B3" s="183" t="s">
        <v>170</v>
      </c>
      <c r="C3" s="183"/>
      <c r="D3" s="183"/>
      <c r="E3" s="183"/>
      <c r="F3" s="183"/>
      <c r="G3" s="46"/>
      <c r="H3" s="46"/>
      <c r="I3" s="46"/>
      <c r="J3" s="46"/>
      <c r="K3" s="46"/>
    </row>
    <row r="4" spans="1:11" ht="21" customHeight="1" x14ac:dyDescent="0.2">
      <c r="A4" s="4" t="s">
        <v>54</v>
      </c>
      <c r="B4" s="184">
        <v>44378</v>
      </c>
      <c r="C4" s="184"/>
      <c r="D4" s="184"/>
      <c r="E4" s="184"/>
      <c r="F4" s="184"/>
      <c r="G4" s="46"/>
      <c r="H4" s="46"/>
      <c r="I4" s="46"/>
      <c r="J4" s="46"/>
      <c r="K4" s="46"/>
    </row>
    <row r="5" spans="1:11" ht="21" customHeight="1" x14ac:dyDescent="0.2">
      <c r="A5" s="4" t="s">
        <v>55</v>
      </c>
      <c r="B5" s="184">
        <v>44742</v>
      </c>
      <c r="C5" s="184"/>
      <c r="D5" s="184"/>
      <c r="E5" s="184"/>
      <c r="F5" s="184"/>
      <c r="G5" s="46"/>
      <c r="H5" s="46"/>
      <c r="I5" s="46"/>
      <c r="J5" s="46"/>
      <c r="K5" s="46"/>
    </row>
    <row r="6" spans="1:11" ht="21" customHeight="1" x14ac:dyDescent="0.2">
      <c r="A6" s="4" t="s">
        <v>56</v>
      </c>
      <c r="B6" s="181" t="str">
        <f>IF(AND(Travel!B7&lt;&gt;A30,Hospitality!B7&lt;&gt;A30,'All other expenses'!B7&lt;&gt;A30,'Gifts and benefits'!B7&lt;&gt;A30),A31,IF(AND(Travel!B7=A30,Hospitality!B7=A30,'All other expenses'!B7=A30,'Gifts and benefits'!B7=A30),A33,A32))</f>
        <v>Data and totals checked on all sheets</v>
      </c>
      <c r="C6" s="181"/>
      <c r="D6" s="181"/>
      <c r="E6" s="181"/>
      <c r="F6" s="181"/>
      <c r="G6" s="34"/>
      <c r="H6" s="46"/>
      <c r="I6" s="46"/>
      <c r="J6" s="46"/>
      <c r="K6" s="46"/>
    </row>
    <row r="7" spans="1:11" ht="21" customHeight="1" x14ac:dyDescent="0.2">
      <c r="A7" s="4" t="s">
        <v>57</v>
      </c>
      <c r="B7" s="180" t="s">
        <v>89</v>
      </c>
      <c r="C7" s="180"/>
      <c r="D7" s="180"/>
      <c r="E7" s="180"/>
      <c r="F7" s="180"/>
      <c r="G7" s="34"/>
      <c r="H7" s="46"/>
      <c r="I7" s="46"/>
      <c r="J7" s="46"/>
      <c r="K7" s="46"/>
    </row>
    <row r="8" spans="1:11" ht="21" customHeight="1" x14ac:dyDescent="0.2">
      <c r="A8" s="4" t="s">
        <v>59</v>
      </c>
      <c r="B8" s="180" t="s">
        <v>298</v>
      </c>
      <c r="C8" s="180"/>
      <c r="D8" s="180"/>
      <c r="E8" s="180"/>
      <c r="F8" s="180"/>
      <c r="G8" s="34"/>
      <c r="H8" s="46"/>
      <c r="I8" s="46"/>
      <c r="J8" s="46"/>
      <c r="K8" s="46"/>
    </row>
    <row r="9" spans="1:11" ht="66.75" customHeight="1" x14ac:dyDescent="0.2">
      <c r="A9" s="179" t="s">
        <v>60</v>
      </c>
      <c r="B9" s="179"/>
      <c r="C9" s="179"/>
      <c r="D9" s="179"/>
      <c r="E9" s="179"/>
      <c r="F9" s="179"/>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18237.749999999989</v>
      </c>
      <c r="C11" s="102" t="str">
        <f>IF(Travel!B6="",A34,Travel!B6)</f>
        <v>Figures exclude GST</v>
      </c>
      <c r="D11" s="8"/>
      <c r="E11" s="10" t="s">
        <v>66</v>
      </c>
      <c r="F11" s="56">
        <f>'Gifts and benefits'!C18</f>
        <v>0</v>
      </c>
      <c r="G11" s="47"/>
      <c r="H11" s="47"/>
      <c r="I11" s="47"/>
      <c r="J11" s="47"/>
      <c r="K11" s="47"/>
    </row>
    <row r="12" spans="1:11" ht="27.75" customHeight="1" x14ac:dyDescent="0.2">
      <c r="A12" s="10" t="s">
        <v>24</v>
      </c>
      <c r="B12" s="94">
        <f>Hospitality!B18</f>
        <v>1241.74</v>
      </c>
      <c r="C12" s="102" t="str">
        <f>IF(Hospitality!B6="",A34,Hospitality!B6)</f>
        <v>Figures exclude GST</v>
      </c>
      <c r="D12" s="8"/>
      <c r="E12" s="10" t="s">
        <v>67</v>
      </c>
      <c r="F12" s="56">
        <f>'Gifts and benefits'!C19</f>
        <v>0</v>
      </c>
      <c r="G12" s="47"/>
      <c r="H12" s="47"/>
      <c r="I12" s="47"/>
      <c r="J12" s="47"/>
      <c r="K12" s="47"/>
    </row>
    <row r="13" spans="1:11" ht="27.75" customHeight="1" x14ac:dyDescent="0.2">
      <c r="A13" s="10" t="s">
        <v>68</v>
      </c>
      <c r="B13" s="94">
        <f>'All other expenses'!B22</f>
        <v>19553.560000000001</v>
      </c>
      <c r="C13" s="102" t="str">
        <f>IF('All other expenses'!B6="",A34,'All other expenses'!B6)</f>
        <v>Figures exclude GST</v>
      </c>
      <c r="D13" s="8"/>
      <c r="E13" s="10" t="s">
        <v>69</v>
      </c>
      <c r="F13" s="56">
        <f>'Gifts and benefits'!C20</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2421.1599999999994</v>
      </c>
      <c r="C15" s="104" t="str">
        <f>C11</f>
        <v>Figures exclude GST</v>
      </c>
      <c r="D15" s="8"/>
      <c r="E15" s="8"/>
      <c r="F15" s="58"/>
      <c r="G15" s="46"/>
      <c r="H15" s="46"/>
      <c r="I15" s="46"/>
      <c r="J15" s="46"/>
      <c r="K15" s="46"/>
    </row>
    <row r="16" spans="1:11" ht="27.75" customHeight="1" x14ac:dyDescent="0.2">
      <c r="A16" s="11" t="s">
        <v>71</v>
      </c>
      <c r="B16" s="96">
        <f>Travel!B111</f>
        <v>15781.68999999999</v>
      </c>
      <c r="C16" s="104" t="str">
        <f>C11</f>
        <v>Figures exclude GST</v>
      </c>
      <c r="D16" s="59"/>
      <c r="E16" s="8"/>
      <c r="F16" s="60"/>
      <c r="G16" s="46"/>
      <c r="H16" s="46"/>
      <c r="I16" s="46"/>
      <c r="J16" s="46"/>
      <c r="K16" s="46"/>
    </row>
    <row r="17" spans="1:11" ht="27.75" customHeight="1" x14ac:dyDescent="0.2">
      <c r="A17" s="11" t="s">
        <v>72</v>
      </c>
      <c r="B17" s="96">
        <f>Travel!B122</f>
        <v>34.9</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6</v>
      </c>
      <c r="C55" s="111"/>
      <c r="D55" s="111">
        <f>COUNTIF(Travel!D12:D21,"*")</f>
        <v>6</v>
      </c>
      <c r="E55" s="112"/>
      <c r="F55" s="112" t="b">
        <f>MIN(B55,D55)=MAX(B55,D55)</f>
        <v>1</v>
      </c>
      <c r="G55" s="46"/>
      <c r="H55" s="46"/>
      <c r="I55" s="46"/>
      <c r="J55" s="46"/>
      <c r="K55" s="46"/>
    </row>
    <row r="56" spans="1:11" hidden="1" x14ac:dyDescent="0.2">
      <c r="A56" s="121" t="s">
        <v>105</v>
      </c>
      <c r="B56" s="111">
        <f>COUNT(Travel!B26:B110)</f>
        <v>82</v>
      </c>
      <c r="C56" s="111"/>
      <c r="D56" s="111">
        <f>COUNTIF(Travel!D26:D110,"*")</f>
        <v>82</v>
      </c>
      <c r="E56" s="112"/>
      <c r="F56" s="112" t="b">
        <f>MIN(B56,D56)=MAX(B56,D56)</f>
        <v>1</v>
      </c>
    </row>
    <row r="57" spans="1:11" hidden="1" x14ac:dyDescent="0.2">
      <c r="A57" s="122"/>
      <c r="B57" s="111">
        <f>COUNT(Travel!B115:B121)</f>
        <v>2</v>
      </c>
      <c r="C57" s="111"/>
      <c r="D57" s="111">
        <f>COUNTIF(Travel!D115:D121,"*")</f>
        <v>2</v>
      </c>
      <c r="E57" s="112"/>
      <c r="F57" s="112" t="b">
        <f>MIN(B57,D57)=MAX(B57,D57)</f>
        <v>1</v>
      </c>
    </row>
    <row r="58" spans="1:11" hidden="1" x14ac:dyDescent="0.2">
      <c r="A58" s="123" t="s">
        <v>106</v>
      </c>
      <c r="B58" s="113">
        <f>COUNT(Hospitality!B11:B17)</f>
        <v>1</v>
      </c>
      <c r="C58" s="113"/>
      <c r="D58" s="113">
        <f>COUNTIF(Hospitality!D11:D17,"*")</f>
        <v>1</v>
      </c>
      <c r="E58" s="114"/>
      <c r="F58" s="114" t="b">
        <f>MIN(B58,D58)=MAX(B58,D58)</f>
        <v>1</v>
      </c>
    </row>
    <row r="59" spans="1:11" hidden="1" x14ac:dyDescent="0.2">
      <c r="A59" s="124" t="s">
        <v>107</v>
      </c>
      <c r="B59" s="112">
        <f>COUNT('All other expenses'!B11:B21)</f>
        <v>7</v>
      </c>
      <c r="C59" s="112"/>
      <c r="D59" s="112">
        <f>COUNTIF('All other expenses'!D11:D21,"*")</f>
        <v>7</v>
      </c>
      <c r="E59" s="112"/>
      <c r="F59" s="112" t="b">
        <f>MIN(B59,D59)=MAX(B59,D59)</f>
        <v>1</v>
      </c>
    </row>
    <row r="60" spans="1:11" hidden="1" x14ac:dyDescent="0.2">
      <c r="A60" s="123" t="s">
        <v>108</v>
      </c>
      <c r="B60" s="113">
        <f>COUNTIF('Gifts and benefits'!B11:B17,"*")</f>
        <v>0</v>
      </c>
      <c r="C60" s="113">
        <f>COUNTIF('Gifts and benefits'!C11:C17,"*")</f>
        <v>0</v>
      </c>
      <c r="D60" s="113"/>
      <c r="E60" s="113">
        <f>COUNTA('Gifts and benefits'!E11:E17)</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61"/>
  <sheetViews>
    <sheetView topLeftCell="A7" zoomScaleNormal="100" workbookViewId="0">
      <selection activeCell="B100" sqref="B10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82" t="s">
        <v>109</v>
      </c>
      <c r="B1" s="182"/>
      <c r="C1" s="182"/>
      <c r="D1" s="182"/>
      <c r="E1" s="182"/>
      <c r="F1" s="46"/>
    </row>
    <row r="2" spans="1:6" ht="21" customHeight="1" x14ac:dyDescent="0.2">
      <c r="A2" s="4" t="s">
        <v>52</v>
      </c>
      <c r="B2" s="185" t="str">
        <f>'Summary and sign-off'!B2:F2</f>
        <v>Southern District Health Board</v>
      </c>
      <c r="C2" s="185"/>
      <c r="D2" s="185"/>
      <c r="E2" s="185"/>
      <c r="F2" s="46"/>
    </row>
    <row r="3" spans="1:6" ht="21" customHeight="1" x14ac:dyDescent="0.2">
      <c r="A3" s="4" t="s">
        <v>110</v>
      </c>
      <c r="B3" s="185" t="str">
        <f>'Summary and sign-off'!B3:F3</f>
        <v>Chris Fleming</v>
      </c>
      <c r="C3" s="185"/>
      <c r="D3" s="185"/>
      <c r="E3" s="185"/>
      <c r="F3" s="46"/>
    </row>
    <row r="4" spans="1:6" ht="21" customHeight="1" x14ac:dyDescent="0.2">
      <c r="A4" s="4" t="s">
        <v>111</v>
      </c>
      <c r="B4" s="185">
        <f>'Summary and sign-off'!B4:F4</f>
        <v>44378</v>
      </c>
      <c r="C4" s="185"/>
      <c r="D4" s="185"/>
      <c r="E4" s="185"/>
      <c r="F4" s="46"/>
    </row>
    <row r="5" spans="1:6" ht="21" customHeight="1" x14ac:dyDescent="0.2">
      <c r="A5" s="4" t="s">
        <v>112</v>
      </c>
      <c r="B5" s="185">
        <f>'Summary and sign-off'!B5:F5</f>
        <v>44742</v>
      </c>
      <c r="C5" s="185"/>
      <c r="D5" s="185"/>
      <c r="E5" s="185"/>
      <c r="F5" s="46"/>
    </row>
    <row r="6" spans="1:6" ht="21" customHeight="1" x14ac:dyDescent="0.2">
      <c r="A6" s="4" t="s">
        <v>113</v>
      </c>
      <c r="B6" s="180" t="s">
        <v>81</v>
      </c>
      <c r="C6" s="180"/>
      <c r="D6" s="180"/>
      <c r="E6" s="180"/>
      <c r="F6" s="46"/>
    </row>
    <row r="7" spans="1:6" ht="21" customHeight="1" x14ac:dyDescent="0.2">
      <c r="A7" s="4" t="s">
        <v>56</v>
      </c>
      <c r="B7" s="180" t="s">
        <v>83</v>
      </c>
      <c r="C7" s="180"/>
      <c r="D7" s="180"/>
      <c r="E7" s="180"/>
      <c r="F7" s="46"/>
    </row>
    <row r="8" spans="1:6" ht="36" customHeight="1" x14ac:dyDescent="0.2">
      <c r="A8" s="188" t="s">
        <v>114</v>
      </c>
      <c r="B8" s="189"/>
      <c r="C8" s="189"/>
      <c r="D8" s="189"/>
      <c r="E8" s="189"/>
      <c r="F8" s="22"/>
    </row>
    <row r="9" spans="1:6" ht="36" customHeight="1" x14ac:dyDescent="0.2">
      <c r="A9" s="190" t="s">
        <v>115</v>
      </c>
      <c r="B9" s="191"/>
      <c r="C9" s="191"/>
      <c r="D9" s="191"/>
      <c r="E9" s="191"/>
      <c r="F9" s="22"/>
    </row>
    <row r="10" spans="1:6" ht="24.75" customHeight="1" x14ac:dyDescent="0.2">
      <c r="A10" s="187" t="s">
        <v>116</v>
      </c>
      <c r="B10" s="192"/>
      <c r="C10" s="187"/>
      <c r="D10" s="187"/>
      <c r="E10" s="187"/>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hidden="1" x14ac:dyDescent="0.2">
      <c r="A13" s="157"/>
      <c r="B13" s="158"/>
      <c r="C13" s="159"/>
      <c r="D13" s="159"/>
      <c r="E13" s="160"/>
      <c r="F13" s="1"/>
    </row>
    <row r="14" spans="1:6" s="87" customFormat="1" ht="25.5" x14ac:dyDescent="0.2">
      <c r="A14" s="170" t="s">
        <v>254</v>
      </c>
      <c r="B14" s="171">
        <f>276.95+342.71</f>
        <v>619.66</v>
      </c>
      <c r="C14" s="175" t="s">
        <v>259</v>
      </c>
      <c r="D14" s="175" t="s">
        <v>172</v>
      </c>
      <c r="E14" s="176" t="s">
        <v>214</v>
      </c>
      <c r="F14" s="1"/>
    </row>
    <row r="15" spans="1:6" s="87" customFormat="1" ht="25.5" x14ac:dyDescent="0.2">
      <c r="A15" s="170" t="s">
        <v>254</v>
      </c>
      <c r="B15" s="171">
        <f>306.62+1037.53</f>
        <v>1344.15</v>
      </c>
      <c r="C15" s="175" t="s">
        <v>258</v>
      </c>
      <c r="D15" s="175" t="s">
        <v>251</v>
      </c>
      <c r="E15" s="176" t="s">
        <v>252</v>
      </c>
      <c r="F15" s="1"/>
    </row>
    <row r="16" spans="1:6" s="87" customFormat="1" ht="25.5" x14ac:dyDescent="0.2">
      <c r="A16" s="170" t="s">
        <v>254</v>
      </c>
      <c r="B16" s="171">
        <f>11.09+35.36+45+125.5</f>
        <v>216.95</v>
      </c>
      <c r="C16" s="175" t="s">
        <v>257</v>
      </c>
      <c r="D16" s="175" t="s">
        <v>182</v>
      </c>
      <c r="E16" s="176" t="s">
        <v>252</v>
      </c>
      <c r="F16" s="1"/>
    </row>
    <row r="17" spans="1:6" s="87" customFormat="1" x14ac:dyDescent="0.2">
      <c r="A17" s="170" t="s">
        <v>254</v>
      </c>
      <c r="B17" s="171">
        <f>31.81+30.22+65.07</f>
        <v>127.1</v>
      </c>
      <c r="C17" s="175" t="s">
        <v>256</v>
      </c>
      <c r="D17" s="175" t="s">
        <v>300</v>
      </c>
      <c r="E17" s="176" t="s">
        <v>253</v>
      </c>
      <c r="F17" s="1"/>
    </row>
    <row r="18" spans="1:6" s="87" customFormat="1" ht="12.75" customHeight="1" x14ac:dyDescent="0.2">
      <c r="A18" s="170" t="s">
        <v>254</v>
      </c>
      <c r="B18" s="171">
        <v>67.31</v>
      </c>
      <c r="C18" s="175" t="s">
        <v>215</v>
      </c>
      <c r="D18" s="175" t="s">
        <v>216</v>
      </c>
      <c r="E18" s="176" t="s">
        <v>214</v>
      </c>
      <c r="F18" s="1"/>
    </row>
    <row r="19" spans="1:6" s="87" customFormat="1" x14ac:dyDescent="0.2">
      <c r="A19" s="170" t="s">
        <v>254</v>
      </c>
      <c r="B19" s="171">
        <v>45.99</v>
      </c>
      <c r="C19" s="175" t="s">
        <v>260</v>
      </c>
      <c r="D19" s="175" t="s">
        <v>197</v>
      </c>
      <c r="E19" s="176" t="s">
        <v>191</v>
      </c>
      <c r="F19" s="1"/>
    </row>
    <row r="20" spans="1:6" s="87" customFormat="1" hidden="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2421.1599999999994</v>
      </c>
      <c r="C22" s="168" t="str">
        <f>IF(SUBTOTAL(3,B12:B21)=SUBTOTAL(103,B12:B21),'Summary and sign-off'!$A$48,'Summary and sign-off'!$A$49)</f>
        <v>Check - there are no hidden rows with data</v>
      </c>
      <c r="D22" s="186" t="str">
        <f>IF('Summary and sign-off'!F55='Summary and sign-off'!F54,'Summary and sign-off'!A51,'Summary and sign-off'!A50)</f>
        <v>Check - each entry provides sufficient information</v>
      </c>
      <c r="E22" s="186"/>
      <c r="F22" s="46"/>
    </row>
    <row r="23" spans="1:6" ht="10.5" customHeight="1" x14ac:dyDescent="0.2">
      <c r="A23" s="27"/>
      <c r="B23" s="22"/>
      <c r="C23" s="27"/>
      <c r="D23" s="27"/>
      <c r="E23" s="27"/>
      <c r="F23" s="27"/>
    </row>
    <row r="24" spans="1:6" ht="24.75" customHeight="1" x14ac:dyDescent="0.2">
      <c r="A24" s="187" t="s">
        <v>123</v>
      </c>
      <c r="B24" s="187"/>
      <c r="C24" s="187"/>
      <c r="D24" s="187"/>
      <c r="E24" s="187"/>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ht="38.25" x14ac:dyDescent="0.2">
      <c r="A27" s="170">
        <v>44378</v>
      </c>
      <c r="B27" s="171">
        <v>71.83</v>
      </c>
      <c r="C27" s="175" t="s">
        <v>250</v>
      </c>
      <c r="D27" s="175" t="s">
        <v>300</v>
      </c>
      <c r="E27" s="176" t="s">
        <v>175</v>
      </c>
      <c r="F27" s="1" t="s">
        <v>232</v>
      </c>
    </row>
    <row r="28" spans="1:6" s="87" customFormat="1" ht="63.75" x14ac:dyDescent="0.2">
      <c r="A28" s="170" t="s">
        <v>231</v>
      </c>
      <c r="B28" s="171">
        <v>238.62</v>
      </c>
      <c r="C28" s="175" t="s">
        <v>255</v>
      </c>
      <c r="D28" s="175" t="s">
        <v>172</v>
      </c>
      <c r="E28" s="176" t="s">
        <v>173</v>
      </c>
      <c r="F28" s="1"/>
    </row>
    <row r="29" spans="1:6" s="87" customFormat="1" x14ac:dyDescent="0.2">
      <c r="A29" s="170" t="s">
        <v>231</v>
      </c>
      <c r="B29" s="171">
        <v>366.33</v>
      </c>
      <c r="C29" s="175" t="s">
        <v>196</v>
      </c>
      <c r="D29" s="175" t="s">
        <v>261</v>
      </c>
      <c r="E29" s="176" t="s">
        <v>173</v>
      </c>
      <c r="F29" s="1"/>
    </row>
    <row r="30" spans="1:6" s="87" customFormat="1" x14ac:dyDescent="0.2">
      <c r="A30" s="170" t="s">
        <v>231</v>
      </c>
      <c r="B30" s="171">
        <f>34.78+43.3+28.96</f>
        <v>107.03999999999999</v>
      </c>
      <c r="C30" s="175" t="s">
        <v>217</v>
      </c>
      <c r="D30" s="175" t="s">
        <v>300</v>
      </c>
      <c r="E30" s="176" t="s">
        <v>173</v>
      </c>
      <c r="F30" s="1"/>
    </row>
    <row r="31" spans="1:6" s="87" customFormat="1" x14ac:dyDescent="0.2">
      <c r="A31" s="170" t="s">
        <v>231</v>
      </c>
      <c r="B31" s="171">
        <f>35.65+29.39</f>
        <v>65.039999999999992</v>
      </c>
      <c r="C31" s="175" t="s">
        <v>218</v>
      </c>
      <c r="D31" s="175" t="s">
        <v>182</v>
      </c>
      <c r="E31" s="176" t="s">
        <v>173</v>
      </c>
      <c r="F31" s="1"/>
    </row>
    <row r="32" spans="1:6" s="87" customFormat="1" x14ac:dyDescent="0.2">
      <c r="A32" s="170">
        <v>44398</v>
      </c>
      <c r="B32" s="171">
        <v>7.31</v>
      </c>
      <c r="C32" s="175" t="s">
        <v>296</v>
      </c>
      <c r="D32" s="175" t="s">
        <v>172</v>
      </c>
      <c r="E32" s="176" t="s">
        <v>175</v>
      </c>
      <c r="F32" s="1"/>
    </row>
    <row r="33" spans="1:6" s="87" customFormat="1" x14ac:dyDescent="0.2">
      <c r="A33" s="170">
        <v>44398</v>
      </c>
      <c r="B33" s="171">
        <v>146.58000000000001</v>
      </c>
      <c r="C33" s="175" t="s">
        <v>296</v>
      </c>
      <c r="D33" s="175" t="s">
        <v>171</v>
      </c>
      <c r="E33" s="176" t="s">
        <v>175</v>
      </c>
      <c r="F33" s="1"/>
    </row>
    <row r="34" spans="1:6" s="87" customFormat="1" ht="51" x14ac:dyDescent="0.2">
      <c r="A34" s="170" t="s">
        <v>264</v>
      </c>
      <c r="B34" s="171">
        <v>470.29</v>
      </c>
      <c r="C34" s="175" t="s">
        <v>263</v>
      </c>
      <c r="D34" s="175" t="s">
        <v>222</v>
      </c>
      <c r="E34" s="176" t="s">
        <v>294</v>
      </c>
      <c r="F34" s="1"/>
    </row>
    <row r="35" spans="1:6" s="87" customFormat="1" x14ac:dyDescent="0.2">
      <c r="A35" s="170" t="s">
        <v>264</v>
      </c>
      <c r="B35" s="171">
        <v>162.82</v>
      </c>
      <c r="C35" s="175" t="s">
        <v>223</v>
      </c>
      <c r="D35" s="175" t="s">
        <v>171</v>
      </c>
      <c r="E35" s="176" t="s">
        <v>174</v>
      </c>
      <c r="F35" s="1"/>
    </row>
    <row r="36" spans="1:6" s="87" customFormat="1" x14ac:dyDescent="0.2">
      <c r="A36" s="170" t="s">
        <v>264</v>
      </c>
      <c r="B36" s="171">
        <v>80</v>
      </c>
      <c r="C36" s="175" t="s">
        <v>234</v>
      </c>
      <c r="D36" s="175" t="s">
        <v>262</v>
      </c>
      <c r="E36" s="176" t="s">
        <v>174</v>
      </c>
      <c r="F36" s="1"/>
    </row>
    <row r="37" spans="1:6" s="87" customFormat="1" x14ac:dyDescent="0.2">
      <c r="A37" s="170" t="s">
        <v>264</v>
      </c>
      <c r="B37" s="171">
        <f>33.74+32.63</f>
        <v>66.37</v>
      </c>
      <c r="C37" s="175" t="s">
        <v>219</v>
      </c>
      <c r="D37" s="175" t="s">
        <v>182</v>
      </c>
      <c r="E37" s="176" t="s">
        <v>176</v>
      </c>
      <c r="F37" s="1"/>
    </row>
    <row r="38" spans="1:6" s="87" customFormat="1" ht="25.5" x14ac:dyDescent="0.2">
      <c r="A38" s="170" t="s">
        <v>233</v>
      </c>
      <c r="B38" s="171">
        <v>330.22</v>
      </c>
      <c r="C38" s="175" t="s">
        <v>224</v>
      </c>
      <c r="D38" s="175" t="s">
        <v>222</v>
      </c>
      <c r="E38" s="176" t="s">
        <v>176</v>
      </c>
      <c r="F38" s="1"/>
    </row>
    <row r="39" spans="1:6" s="87" customFormat="1" x14ac:dyDescent="0.2">
      <c r="A39" s="170" t="s">
        <v>233</v>
      </c>
      <c r="B39" s="171">
        <v>176.28</v>
      </c>
      <c r="C39" s="175" t="s">
        <v>225</v>
      </c>
      <c r="D39" s="175" t="s">
        <v>171</v>
      </c>
      <c r="E39" s="176" t="s">
        <v>176</v>
      </c>
      <c r="F39" s="1"/>
    </row>
    <row r="40" spans="1:6" s="87" customFormat="1" x14ac:dyDescent="0.2">
      <c r="A40" s="170" t="s">
        <v>233</v>
      </c>
      <c r="B40" s="171">
        <f>39.13+21.74</f>
        <v>60.870000000000005</v>
      </c>
      <c r="C40" s="175" t="s">
        <v>213</v>
      </c>
      <c r="D40" s="175" t="s">
        <v>182</v>
      </c>
      <c r="E40" s="176" t="s">
        <v>176</v>
      </c>
      <c r="F40" s="1"/>
    </row>
    <row r="41" spans="1:6" s="87" customFormat="1" ht="25.5" x14ac:dyDescent="0.2">
      <c r="A41" s="170">
        <v>44417</v>
      </c>
      <c r="B41" s="171">
        <f>11.5+370.53</f>
        <v>382.03</v>
      </c>
      <c r="C41" s="175" t="s">
        <v>235</v>
      </c>
      <c r="D41" s="175" t="s">
        <v>172</v>
      </c>
      <c r="E41" s="176" t="s">
        <v>177</v>
      </c>
      <c r="F41" s="178"/>
    </row>
    <row r="42" spans="1:6" s="87" customFormat="1" x14ac:dyDescent="0.2">
      <c r="A42" s="170">
        <v>44417</v>
      </c>
      <c r="B42" s="171">
        <f>40.43+42.96</f>
        <v>83.39</v>
      </c>
      <c r="C42" s="175" t="s">
        <v>265</v>
      </c>
      <c r="D42" s="175" t="s">
        <v>300</v>
      </c>
      <c r="E42" s="176" t="s">
        <v>177</v>
      </c>
      <c r="F42" s="1"/>
    </row>
    <row r="43" spans="1:6" s="87" customFormat="1" x14ac:dyDescent="0.2">
      <c r="A43" s="170">
        <v>44417</v>
      </c>
      <c r="B43" s="171">
        <v>21.83</v>
      </c>
      <c r="C43" s="175" t="s">
        <v>293</v>
      </c>
      <c r="D43" s="175" t="s">
        <v>197</v>
      </c>
      <c r="E43" s="176" t="s">
        <v>191</v>
      </c>
      <c r="F43" s="1"/>
    </row>
    <row r="44" spans="1:6" s="87" customFormat="1" ht="25.5" x14ac:dyDescent="0.2">
      <c r="A44" s="170" t="s">
        <v>266</v>
      </c>
      <c r="B44" s="171">
        <v>578.5</v>
      </c>
      <c r="C44" s="175" t="s">
        <v>268</v>
      </c>
      <c r="D44" s="175" t="s">
        <v>172</v>
      </c>
      <c r="E44" s="176" t="s">
        <v>173</v>
      </c>
      <c r="F44" s="1"/>
    </row>
    <row r="45" spans="1:6" s="87" customFormat="1" x14ac:dyDescent="0.2">
      <c r="A45" s="170" t="s">
        <v>266</v>
      </c>
      <c r="B45" s="171">
        <v>176.33</v>
      </c>
      <c r="C45" s="175" t="s">
        <v>178</v>
      </c>
      <c r="D45" s="175" t="s">
        <v>171</v>
      </c>
      <c r="E45" s="176" t="s">
        <v>173</v>
      </c>
      <c r="F45" s="1"/>
    </row>
    <row r="46" spans="1:6" s="87" customFormat="1" x14ac:dyDescent="0.2">
      <c r="A46" s="170" t="s">
        <v>266</v>
      </c>
      <c r="B46" s="171">
        <v>48</v>
      </c>
      <c r="C46" s="175" t="s">
        <v>198</v>
      </c>
      <c r="D46" s="175" t="s">
        <v>182</v>
      </c>
      <c r="E46" s="176" t="s">
        <v>173</v>
      </c>
      <c r="F46" s="1"/>
    </row>
    <row r="47" spans="1:6" s="87" customFormat="1" x14ac:dyDescent="0.2">
      <c r="A47" s="170" t="s">
        <v>266</v>
      </c>
      <c r="B47" s="171">
        <v>36</v>
      </c>
      <c r="C47" s="175" t="s">
        <v>230</v>
      </c>
      <c r="D47" s="175" t="s">
        <v>300</v>
      </c>
      <c r="E47" s="176" t="s">
        <v>173</v>
      </c>
      <c r="F47" s="1"/>
    </row>
    <row r="48" spans="1:6" s="87" customFormat="1" ht="25.5" x14ac:dyDescent="0.2">
      <c r="A48" s="170" t="s">
        <v>220</v>
      </c>
      <c r="B48" s="171">
        <v>330.22</v>
      </c>
      <c r="C48" s="175" t="s">
        <v>226</v>
      </c>
      <c r="D48" s="175" t="s">
        <v>222</v>
      </c>
      <c r="E48" s="176" t="s">
        <v>176</v>
      </c>
      <c r="F48" s="1"/>
    </row>
    <row r="49" spans="1:6" s="87" customFormat="1" x14ac:dyDescent="0.2">
      <c r="A49" s="170" t="s">
        <v>220</v>
      </c>
      <c r="B49" s="171">
        <f>23.16+19.5+36.35+20.14</f>
        <v>99.149999999999991</v>
      </c>
      <c r="C49" s="175" t="s">
        <v>219</v>
      </c>
      <c r="D49" s="175" t="s">
        <v>182</v>
      </c>
      <c r="E49" s="176" t="s">
        <v>176</v>
      </c>
      <c r="F49" s="1"/>
    </row>
    <row r="50" spans="1:6" s="87" customFormat="1" ht="25.5" x14ac:dyDescent="0.2">
      <c r="A50" s="170">
        <v>44475</v>
      </c>
      <c r="B50" s="171">
        <v>120.4</v>
      </c>
      <c r="C50" s="175" t="s">
        <v>227</v>
      </c>
      <c r="D50" s="175" t="s">
        <v>222</v>
      </c>
      <c r="E50" s="176" t="s">
        <v>228</v>
      </c>
      <c r="F50" s="1"/>
    </row>
    <row r="51" spans="1:6" s="87" customFormat="1" x14ac:dyDescent="0.2">
      <c r="A51" s="170" t="s">
        <v>185</v>
      </c>
      <c r="B51" s="171">
        <f>26.56+30.13</f>
        <v>56.69</v>
      </c>
      <c r="C51" s="175" t="s">
        <v>186</v>
      </c>
      <c r="D51" s="175" t="s">
        <v>300</v>
      </c>
      <c r="E51" s="176" t="s">
        <v>173</v>
      </c>
      <c r="F51" s="1"/>
    </row>
    <row r="52" spans="1:6" s="87" customFormat="1" ht="25.5" x14ac:dyDescent="0.2">
      <c r="A52" s="170" t="s">
        <v>267</v>
      </c>
      <c r="B52" s="171">
        <v>330.22</v>
      </c>
      <c r="C52" s="175" t="s">
        <v>226</v>
      </c>
      <c r="D52" s="175" t="s">
        <v>222</v>
      </c>
      <c r="E52" s="176" t="s">
        <v>176</v>
      </c>
      <c r="F52" s="1"/>
    </row>
    <row r="53" spans="1:6" s="87" customFormat="1" x14ac:dyDescent="0.2">
      <c r="A53" s="170" t="s">
        <v>267</v>
      </c>
      <c r="B53" s="171">
        <f>37.37+39.13+28.87</f>
        <v>105.37</v>
      </c>
      <c r="C53" s="175" t="s">
        <v>219</v>
      </c>
      <c r="D53" s="175" t="s">
        <v>182</v>
      </c>
      <c r="E53" s="176" t="s">
        <v>176</v>
      </c>
      <c r="F53" s="1"/>
    </row>
    <row r="54" spans="1:6" s="87" customFormat="1" ht="25.5" x14ac:dyDescent="0.2">
      <c r="A54" s="170">
        <v>44501</v>
      </c>
      <c r="B54" s="171">
        <v>30.88</v>
      </c>
      <c r="C54" s="175" t="s">
        <v>179</v>
      </c>
      <c r="D54" s="175" t="s">
        <v>171</v>
      </c>
      <c r="E54" s="176" t="s">
        <v>176</v>
      </c>
      <c r="F54" s="1"/>
    </row>
    <row r="55" spans="1:6" s="87" customFormat="1" ht="25.5" x14ac:dyDescent="0.2">
      <c r="A55" s="170">
        <v>44524</v>
      </c>
      <c r="B55" s="171">
        <v>296.63</v>
      </c>
      <c r="C55" s="175" t="s">
        <v>269</v>
      </c>
      <c r="D55" s="175" t="s">
        <v>172</v>
      </c>
      <c r="E55" s="176" t="s">
        <v>173</v>
      </c>
      <c r="F55" s="1"/>
    </row>
    <row r="56" spans="1:6" s="87" customFormat="1" x14ac:dyDescent="0.2">
      <c r="A56" s="170">
        <v>44524</v>
      </c>
      <c r="B56" s="171">
        <f>33.43+29.32</f>
        <v>62.75</v>
      </c>
      <c r="C56" s="175" t="s">
        <v>217</v>
      </c>
      <c r="D56" s="175" t="s">
        <v>300</v>
      </c>
      <c r="E56" s="176" t="s">
        <v>173</v>
      </c>
      <c r="F56" s="1"/>
    </row>
    <row r="57" spans="1:6" s="87" customFormat="1" x14ac:dyDescent="0.2">
      <c r="A57" s="170">
        <v>44524</v>
      </c>
      <c r="B57" s="171">
        <v>21.83</v>
      </c>
      <c r="C57" s="175" t="s">
        <v>276</v>
      </c>
      <c r="D57" s="175" t="s">
        <v>197</v>
      </c>
      <c r="E57" s="176" t="s">
        <v>191</v>
      </c>
      <c r="F57" s="1"/>
    </row>
    <row r="58" spans="1:6" s="87" customFormat="1" ht="38.25" x14ac:dyDescent="0.2">
      <c r="A58" s="170">
        <v>44537</v>
      </c>
      <c r="B58" s="171">
        <v>524.88</v>
      </c>
      <c r="C58" s="175" t="s">
        <v>229</v>
      </c>
      <c r="D58" s="175" t="s">
        <v>222</v>
      </c>
      <c r="E58" s="176" t="s">
        <v>295</v>
      </c>
      <c r="F58" s="1"/>
    </row>
    <row r="59" spans="1:6" s="87" customFormat="1" x14ac:dyDescent="0.2">
      <c r="A59" s="170" t="s">
        <v>301</v>
      </c>
      <c r="B59" s="171">
        <v>539.74</v>
      </c>
      <c r="C59" s="175" t="s">
        <v>270</v>
      </c>
      <c r="D59" s="175" t="s">
        <v>299</v>
      </c>
      <c r="E59" s="176" t="s">
        <v>174</v>
      </c>
      <c r="F59" s="1"/>
    </row>
    <row r="60" spans="1:6" s="87" customFormat="1" ht="25.5" x14ac:dyDescent="0.2">
      <c r="A60" s="170" t="s">
        <v>271</v>
      </c>
      <c r="B60" s="171">
        <v>688.54</v>
      </c>
      <c r="C60" s="175" t="s">
        <v>272</v>
      </c>
      <c r="D60" s="175" t="s">
        <v>172</v>
      </c>
      <c r="E60" s="176" t="s">
        <v>177</v>
      </c>
      <c r="F60" s="1"/>
    </row>
    <row r="61" spans="1:6" s="87" customFormat="1" x14ac:dyDescent="0.2">
      <c r="A61" s="170" t="s">
        <v>271</v>
      </c>
      <c r="B61" s="171">
        <v>167.43</v>
      </c>
      <c r="C61" s="175" t="s">
        <v>205</v>
      </c>
      <c r="D61" s="175" t="s">
        <v>171</v>
      </c>
      <c r="E61" s="176" t="s">
        <v>177</v>
      </c>
      <c r="F61" s="1"/>
    </row>
    <row r="62" spans="1:6" s="87" customFormat="1" x14ac:dyDescent="0.2">
      <c r="A62" s="170" t="s">
        <v>271</v>
      </c>
      <c r="B62" s="171">
        <v>45.36</v>
      </c>
      <c r="C62" s="175" t="s">
        <v>204</v>
      </c>
      <c r="D62" s="175" t="s">
        <v>300</v>
      </c>
      <c r="E62" s="176" t="s">
        <v>177</v>
      </c>
      <c r="F62" s="1"/>
    </row>
    <row r="63" spans="1:6" s="87" customFormat="1" ht="25.5" x14ac:dyDescent="0.2">
      <c r="A63" s="170" t="s">
        <v>187</v>
      </c>
      <c r="B63" s="171">
        <v>571.19000000000005</v>
      </c>
      <c r="C63" s="175" t="s">
        <v>273</v>
      </c>
      <c r="D63" s="175" t="s">
        <v>172</v>
      </c>
      <c r="E63" s="176" t="s">
        <v>173</v>
      </c>
      <c r="F63" s="178"/>
    </row>
    <row r="64" spans="1:6" s="87" customFormat="1" x14ac:dyDescent="0.2">
      <c r="A64" s="170" t="s">
        <v>187</v>
      </c>
      <c r="B64" s="171">
        <v>161.33000000000001</v>
      </c>
      <c r="C64" s="175" t="s">
        <v>178</v>
      </c>
      <c r="D64" s="175" t="s">
        <v>171</v>
      </c>
      <c r="E64" s="176" t="s">
        <v>173</v>
      </c>
      <c r="F64" s="1"/>
    </row>
    <row r="65" spans="1:6" s="87" customFormat="1" x14ac:dyDescent="0.2">
      <c r="A65" s="170" t="s">
        <v>187</v>
      </c>
      <c r="B65" s="171">
        <f>31.55+38.15</f>
        <v>69.7</v>
      </c>
      <c r="C65" s="175" t="s">
        <v>188</v>
      </c>
      <c r="D65" s="175" t="s">
        <v>300</v>
      </c>
      <c r="E65" s="176" t="s">
        <v>173</v>
      </c>
      <c r="F65" s="1"/>
    </row>
    <row r="66" spans="1:6" s="87" customFormat="1" x14ac:dyDescent="0.2">
      <c r="A66" s="170" t="s">
        <v>187</v>
      </c>
      <c r="B66" s="171">
        <v>24</v>
      </c>
      <c r="C66" s="175" t="s">
        <v>198</v>
      </c>
      <c r="D66" s="175" t="s">
        <v>182</v>
      </c>
      <c r="E66" s="176" t="s">
        <v>173</v>
      </c>
      <c r="F66" s="1"/>
    </row>
    <row r="67" spans="1:6" s="87" customFormat="1" x14ac:dyDescent="0.2">
      <c r="A67" s="170" t="s">
        <v>187</v>
      </c>
      <c r="B67" s="171">
        <v>27.48</v>
      </c>
      <c r="C67" s="175" t="s">
        <v>276</v>
      </c>
      <c r="D67" s="175" t="s">
        <v>197</v>
      </c>
      <c r="E67" s="176" t="s">
        <v>191</v>
      </c>
      <c r="F67" s="1"/>
    </row>
    <row r="68" spans="1:6" s="87" customFormat="1" ht="25.5" x14ac:dyDescent="0.2">
      <c r="A68" s="170" t="s">
        <v>200</v>
      </c>
      <c r="B68" s="171">
        <v>213.27</v>
      </c>
      <c r="C68" s="175" t="s">
        <v>272</v>
      </c>
      <c r="D68" s="175" t="s">
        <v>172</v>
      </c>
      <c r="E68" s="176" t="s">
        <v>177</v>
      </c>
      <c r="F68" s="1"/>
    </row>
    <row r="69" spans="1:6" s="87" customFormat="1" x14ac:dyDescent="0.2">
      <c r="A69" s="170" t="s">
        <v>200</v>
      </c>
      <c r="B69" s="171">
        <v>151.33000000000001</v>
      </c>
      <c r="C69" s="175" t="s">
        <v>205</v>
      </c>
      <c r="D69" s="175" t="s">
        <v>171</v>
      </c>
      <c r="E69" s="176" t="s">
        <v>177</v>
      </c>
      <c r="F69" s="1"/>
    </row>
    <row r="70" spans="1:6" s="87" customFormat="1" x14ac:dyDescent="0.2">
      <c r="A70" s="170" t="s">
        <v>200</v>
      </c>
      <c r="B70" s="171">
        <v>42.16</v>
      </c>
      <c r="C70" s="175" t="s">
        <v>204</v>
      </c>
      <c r="D70" s="175" t="s">
        <v>300</v>
      </c>
      <c r="E70" s="176" t="s">
        <v>177</v>
      </c>
      <c r="F70" s="1"/>
    </row>
    <row r="71" spans="1:6" s="87" customFormat="1" x14ac:dyDescent="0.2">
      <c r="A71" s="170" t="s">
        <v>200</v>
      </c>
      <c r="B71" s="171">
        <v>29.57</v>
      </c>
      <c r="C71" s="175" t="s">
        <v>199</v>
      </c>
      <c r="D71" s="175" t="s">
        <v>182</v>
      </c>
      <c r="E71" s="176" t="s">
        <v>177</v>
      </c>
      <c r="F71" s="1"/>
    </row>
    <row r="72" spans="1:6" s="87" customFormat="1" x14ac:dyDescent="0.2">
      <c r="A72" s="170" t="s">
        <v>200</v>
      </c>
      <c r="B72" s="171">
        <v>23.9</v>
      </c>
      <c r="C72" s="175" t="s">
        <v>293</v>
      </c>
      <c r="D72" s="175" t="s">
        <v>197</v>
      </c>
      <c r="E72" s="176" t="s">
        <v>177</v>
      </c>
      <c r="F72" s="1"/>
    </row>
    <row r="73" spans="1:6" s="87" customFormat="1" x14ac:dyDescent="0.2">
      <c r="A73" s="170" t="s">
        <v>274</v>
      </c>
      <c r="B73" s="171">
        <v>331.46</v>
      </c>
      <c r="C73" s="175" t="s">
        <v>180</v>
      </c>
      <c r="D73" s="175" t="s">
        <v>261</v>
      </c>
      <c r="E73" s="176" t="s">
        <v>176</v>
      </c>
      <c r="F73" s="1"/>
    </row>
    <row r="74" spans="1:6" s="87" customFormat="1" x14ac:dyDescent="0.2">
      <c r="A74" s="170" t="s">
        <v>274</v>
      </c>
      <c r="B74" s="171">
        <v>29.39</v>
      </c>
      <c r="C74" s="175" t="s">
        <v>206</v>
      </c>
      <c r="D74" s="175" t="s">
        <v>182</v>
      </c>
      <c r="E74" s="176" t="s">
        <v>176</v>
      </c>
      <c r="F74" s="1"/>
    </row>
    <row r="75" spans="1:6" s="87" customFormat="1" x14ac:dyDescent="0.2">
      <c r="A75" s="170" t="s">
        <v>189</v>
      </c>
      <c r="B75" s="171">
        <v>577.91999999999996</v>
      </c>
      <c r="C75" s="175" t="s">
        <v>275</v>
      </c>
      <c r="D75" s="175" t="s">
        <v>172</v>
      </c>
      <c r="E75" s="176" t="s">
        <v>173</v>
      </c>
      <c r="F75" s="1"/>
    </row>
    <row r="76" spans="1:6" s="87" customFormat="1" x14ac:dyDescent="0.2">
      <c r="A76" s="170" t="s">
        <v>189</v>
      </c>
      <c r="B76" s="171">
        <v>311.95999999999998</v>
      </c>
      <c r="C76" s="175" t="s">
        <v>201</v>
      </c>
      <c r="D76" s="175" t="s">
        <v>261</v>
      </c>
      <c r="E76" s="176" t="s">
        <v>173</v>
      </c>
      <c r="F76" s="1"/>
    </row>
    <row r="77" spans="1:6" s="87" customFormat="1" x14ac:dyDescent="0.2">
      <c r="A77" s="170" t="s">
        <v>189</v>
      </c>
      <c r="B77" s="171">
        <f>27.64+30.39</f>
        <v>58.03</v>
      </c>
      <c r="C77" s="175" t="s">
        <v>202</v>
      </c>
      <c r="D77" s="175" t="s">
        <v>300</v>
      </c>
      <c r="E77" s="176" t="s">
        <v>173</v>
      </c>
      <c r="F77" s="1"/>
    </row>
    <row r="78" spans="1:6" s="87" customFormat="1" x14ac:dyDescent="0.2">
      <c r="A78" s="170" t="s">
        <v>189</v>
      </c>
      <c r="B78" s="171">
        <v>34.35</v>
      </c>
      <c r="C78" s="175" t="s">
        <v>203</v>
      </c>
      <c r="D78" s="175" t="s">
        <v>182</v>
      </c>
      <c r="E78" s="176" t="s">
        <v>173</v>
      </c>
      <c r="F78" s="1"/>
    </row>
    <row r="79" spans="1:6" s="87" customFormat="1" x14ac:dyDescent="0.2">
      <c r="A79" s="170" t="s">
        <v>189</v>
      </c>
      <c r="B79" s="171">
        <v>38.78</v>
      </c>
      <c r="C79" s="175" t="s">
        <v>238</v>
      </c>
      <c r="D79" s="175" t="s">
        <v>197</v>
      </c>
      <c r="E79" s="176" t="s">
        <v>191</v>
      </c>
      <c r="F79" s="1"/>
    </row>
    <row r="80" spans="1:6" s="87" customFormat="1" ht="38.25" x14ac:dyDescent="0.2">
      <c r="A80" s="170" t="s">
        <v>207</v>
      </c>
      <c r="B80" s="171">
        <v>459.46</v>
      </c>
      <c r="C80" s="175" t="s">
        <v>277</v>
      </c>
      <c r="D80" s="175" t="s">
        <v>172</v>
      </c>
      <c r="E80" s="176" t="s">
        <v>173</v>
      </c>
      <c r="F80" s="1"/>
    </row>
    <row r="81" spans="1:6" s="87" customFormat="1" x14ac:dyDescent="0.2">
      <c r="A81" s="170" t="s">
        <v>207</v>
      </c>
      <c r="B81" s="171">
        <v>145.83000000000001</v>
      </c>
      <c r="C81" s="175" t="s">
        <v>196</v>
      </c>
      <c r="D81" s="175" t="s">
        <v>171</v>
      </c>
      <c r="E81" s="176" t="s">
        <v>173</v>
      </c>
      <c r="F81" s="1"/>
    </row>
    <row r="82" spans="1:6" s="87" customFormat="1" x14ac:dyDescent="0.2">
      <c r="A82" s="170" t="s">
        <v>207</v>
      </c>
      <c r="B82" s="171">
        <v>29.06</v>
      </c>
      <c r="C82" s="175" t="s">
        <v>278</v>
      </c>
      <c r="D82" s="175" t="s">
        <v>300</v>
      </c>
      <c r="E82" s="176" t="s">
        <v>173</v>
      </c>
      <c r="F82" s="1"/>
    </row>
    <row r="83" spans="1:6" s="87" customFormat="1" x14ac:dyDescent="0.2">
      <c r="A83" s="170" t="s">
        <v>207</v>
      </c>
      <c r="B83" s="171">
        <v>33.130000000000003</v>
      </c>
      <c r="C83" s="175" t="s">
        <v>276</v>
      </c>
      <c r="D83" s="175" t="s">
        <v>197</v>
      </c>
      <c r="E83" s="176" t="s">
        <v>191</v>
      </c>
      <c r="F83" s="1"/>
    </row>
    <row r="84" spans="1:6" s="87" customFormat="1" ht="25.5" x14ac:dyDescent="0.2">
      <c r="A84" s="170" t="s">
        <v>208</v>
      </c>
      <c r="B84" s="171">
        <v>331.78</v>
      </c>
      <c r="C84" s="175" t="s">
        <v>279</v>
      </c>
      <c r="D84" s="175" t="s">
        <v>172</v>
      </c>
      <c r="E84" s="176" t="s">
        <v>175</v>
      </c>
      <c r="F84" s="1"/>
    </row>
    <row r="85" spans="1:6" s="87" customFormat="1" x14ac:dyDescent="0.2">
      <c r="A85" s="170" t="s">
        <v>208</v>
      </c>
      <c r="B85" s="171">
        <v>316.33999999999997</v>
      </c>
      <c r="C85" s="175" t="s">
        <v>181</v>
      </c>
      <c r="D85" s="175" t="s">
        <v>261</v>
      </c>
      <c r="E85" s="176" t="s">
        <v>175</v>
      </c>
      <c r="F85" s="1"/>
    </row>
    <row r="86" spans="1:6" s="87" customFormat="1" x14ac:dyDescent="0.2">
      <c r="A86" s="170" t="s">
        <v>208</v>
      </c>
      <c r="B86" s="171">
        <f>78.79+80.22</f>
        <v>159.01</v>
      </c>
      <c r="C86" s="175" t="s">
        <v>190</v>
      </c>
      <c r="D86" s="175" t="s">
        <v>300</v>
      </c>
      <c r="E86" s="176" t="s">
        <v>175</v>
      </c>
      <c r="F86" s="1"/>
    </row>
    <row r="87" spans="1:6" s="87" customFormat="1" x14ac:dyDescent="0.2">
      <c r="A87" s="170" t="s">
        <v>208</v>
      </c>
      <c r="B87" s="171">
        <f>34.35+30.7</f>
        <v>65.05</v>
      </c>
      <c r="C87" s="175" t="s">
        <v>209</v>
      </c>
      <c r="D87" s="175" t="s">
        <v>182</v>
      </c>
      <c r="E87" s="177" t="s">
        <v>175</v>
      </c>
      <c r="F87" s="1"/>
    </row>
    <row r="88" spans="1:6" s="87" customFormat="1" x14ac:dyDescent="0.2">
      <c r="A88" s="170" t="s">
        <v>208</v>
      </c>
      <c r="B88" s="171">
        <v>33.130000000000003</v>
      </c>
      <c r="C88" s="175" t="s">
        <v>210</v>
      </c>
      <c r="D88" s="177" t="s">
        <v>197</v>
      </c>
      <c r="E88" s="177" t="s">
        <v>191</v>
      </c>
      <c r="F88" s="1"/>
    </row>
    <row r="89" spans="1:6" s="87" customFormat="1" ht="25.5" x14ac:dyDescent="0.2">
      <c r="A89" s="170" t="s">
        <v>281</v>
      </c>
      <c r="B89" s="171">
        <v>428.22</v>
      </c>
      <c r="C89" s="175" t="s">
        <v>280</v>
      </c>
      <c r="D89" s="175" t="s">
        <v>261</v>
      </c>
      <c r="E89" s="176" t="s">
        <v>175</v>
      </c>
      <c r="F89" s="1"/>
    </row>
    <row r="90" spans="1:6" s="87" customFormat="1" x14ac:dyDescent="0.2">
      <c r="A90" s="170" t="s">
        <v>281</v>
      </c>
      <c r="B90" s="171">
        <f>31.04+28.61</f>
        <v>59.65</v>
      </c>
      <c r="C90" s="175" t="s">
        <v>209</v>
      </c>
      <c r="D90" s="175" t="s">
        <v>182</v>
      </c>
      <c r="E90" s="176" t="s">
        <v>175</v>
      </c>
      <c r="F90" s="1"/>
    </row>
    <row r="91" spans="1:6" s="87" customFormat="1" ht="25.5" x14ac:dyDescent="0.2">
      <c r="A91" s="170" t="s">
        <v>282</v>
      </c>
      <c r="B91" s="171">
        <v>160.71</v>
      </c>
      <c r="C91" s="175" t="s">
        <v>283</v>
      </c>
      <c r="D91" s="175" t="s">
        <v>171</v>
      </c>
      <c r="E91" s="176" t="s">
        <v>176</v>
      </c>
      <c r="F91" s="1"/>
    </row>
    <row r="92" spans="1:6" s="87" customFormat="1" x14ac:dyDescent="0.2">
      <c r="A92" s="170" t="s">
        <v>282</v>
      </c>
      <c r="B92" s="171">
        <f>43+21.3</f>
        <v>64.3</v>
      </c>
      <c r="C92" s="175" t="s">
        <v>213</v>
      </c>
      <c r="D92" s="175" t="s">
        <v>182</v>
      </c>
      <c r="E92" s="176" t="s">
        <v>176</v>
      </c>
      <c r="F92" s="1"/>
    </row>
    <row r="93" spans="1:6" s="87" customFormat="1" x14ac:dyDescent="0.2">
      <c r="A93" s="170">
        <v>44684</v>
      </c>
      <c r="B93" s="171">
        <v>18.23</v>
      </c>
      <c r="C93" s="175" t="s">
        <v>284</v>
      </c>
      <c r="D93" s="175" t="s">
        <v>171</v>
      </c>
      <c r="E93" s="176" t="s">
        <v>174</v>
      </c>
      <c r="F93" s="1"/>
    </row>
    <row r="94" spans="1:6" s="87" customFormat="1" ht="25.5" x14ac:dyDescent="0.2">
      <c r="A94" s="170" t="s">
        <v>192</v>
      </c>
      <c r="B94" s="171">
        <f>849.18+18.23</f>
        <v>867.41</v>
      </c>
      <c r="C94" s="175" t="s">
        <v>285</v>
      </c>
      <c r="D94" s="175" t="s">
        <v>172</v>
      </c>
      <c r="E94" s="176" t="s">
        <v>175</v>
      </c>
      <c r="F94" s="1"/>
    </row>
    <row r="95" spans="1:6" s="87" customFormat="1" x14ac:dyDescent="0.2">
      <c r="A95" s="170" t="s">
        <v>192</v>
      </c>
      <c r="B95" s="171">
        <v>686.73</v>
      </c>
      <c r="C95" s="175" t="s">
        <v>181</v>
      </c>
      <c r="D95" s="175" t="s">
        <v>299</v>
      </c>
      <c r="E95" s="176" t="s">
        <v>175</v>
      </c>
      <c r="F95" s="1"/>
    </row>
    <row r="96" spans="1:6" s="87" customFormat="1" x14ac:dyDescent="0.2">
      <c r="A96" s="170" t="s">
        <v>192</v>
      </c>
      <c r="B96" s="171">
        <f>75.05+72.73</f>
        <v>147.78</v>
      </c>
      <c r="C96" s="175" t="s">
        <v>190</v>
      </c>
      <c r="D96" s="175" t="s">
        <v>300</v>
      </c>
      <c r="E96" s="176" t="s">
        <v>175</v>
      </c>
      <c r="F96" s="1"/>
    </row>
    <row r="97" spans="1:6" s="87" customFormat="1" x14ac:dyDescent="0.2">
      <c r="A97" s="170" t="s">
        <v>192</v>
      </c>
      <c r="B97" s="171">
        <f>35.22+28.26</f>
        <v>63.480000000000004</v>
      </c>
      <c r="C97" s="175" t="s">
        <v>209</v>
      </c>
      <c r="D97" s="175" t="s">
        <v>182</v>
      </c>
      <c r="E97" s="176" t="s">
        <v>175</v>
      </c>
      <c r="F97" s="1"/>
    </row>
    <row r="98" spans="1:6" s="87" customFormat="1" ht="25.5" x14ac:dyDescent="0.2">
      <c r="A98" s="170" t="s">
        <v>287</v>
      </c>
      <c r="B98" s="171">
        <v>602.1</v>
      </c>
      <c r="C98" s="175" t="s">
        <v>286</v>
      </c>
      <c r="D98" s="175" t="s">
        <v>172</v>
      </c>
      <c r="E98" s="176" t="s">
        <v>173</v>
      </c>
      <c r="F98" s="1"/>
    </row>
    <row r="99" spans="1:6" s="87" customFormat="1" x14ac:dyDescent="0.2">
      <c r="A99" s="170" t="s">
        <v>287</v>
      </c>
      <c r="B99" s="171">
        <v>176.33</v>
      </c>
      <c r="C99" s="175" t="s">
        <v>240</v>
      </c>
      <c r="D99" s="175" t="s">
        <v>171</v>
      </c>
      <c r="E99" s="176" t="s">
        <v>173</v>
      </c>
      <c r="F99" s="1"/>
    </row>
    <row r="100" spans="1:6" s="87" customFormat="1" x14ac:dyDescent="0.2">
      <c r="A100" s="170" t="s">
        <v>287</v>
      </c>
      <c r="B100" s="171">
        <v>32</v>
      </c>
      <c r="C100" s="175" t="s">
        <v>203</v>
      </c>
      <c r="D100" s="175" t="s">
        <v>182</v>
      </c>
      <c r="E100" s="176" t="s">
        <v>173</v>
      </c>
      <c r="F100" s="1"/>
    </row>
    <row r="101" spans="1:6" s="87" customFormat="1" x14ac:dyDescent="0.2">
      <c r="A101" s="170" t="s">
        <v>287</v>
      </c>
      <c r="B101" s="171">
        <v>32.799999999999997</v>
      </c>
      <c r="C101" s="175" t="s">
        <v>239</v>
      </c>
      <c r="D101" s="175" t="s">
        <v>300</v>
      </c>
      <c r="E101" s="176" t="s">
        <v>173</v>
      </c>
      <c r="F101" s="1"/>
    </row>
    <row r="102" spans="1:6" s="87" customFormat="1" x14ac:dyDescent="0.2">
      <c r="A102" s="170" t="s">
        <v>287</v>
      </c>
      <c r="B102" s="171">
        <v>27.48</v>
      </c>
      <c r="C102" s="175" t="s">
        <v>238</v>
      </c>
      <c r="D102" s="175" t="s">
        <v>197</v>
      </c>
      <c r="E102" s="176" t="s">
        <v>191</v>
      </c>
      <c r="F102" s="1"/>
    </row>
    <row r="103" spans="1:6" s="87" customFormat="1" ht="38.25" x14ac:dyDescent="0.2">
      <c r="A103" s="170" t="s">
        <v>237</v>
      </c>
      <c r="B103" s="171">
        <f>276.95+342.71</f>
        <v>619.66</v>
      </c>
      <c r="C103" s="175" t="s">
        <v>288</v>
      </c>
      <c r="D103" s="175" t="s">
        <v>172</v>
      </c>
      <c r="E103" s="176" t="s">
        <v>177</v>
      </c>
      <c r="F103" s="1"/>
    </row>
    <row r="104" spans="1:6" s="87" customFormat="1" x14ac:dyDescent="0.2">
      <c r="A104" s="170" t="s">
        <v>237</v>
      </c>
      <c r="B104" s="171">
        <v>234.75</v>
      </c>
      <c r="C104" s="175" t="s">
        <v>290</v>
      </c>
      <c r="D104" s="175" t="s">
        <v>261</v>
      </c>
      <c r="E104" s="176" t="s">
        <v>177</v>
      </c>
      <c r="F104" s="1"/>
    </row>
    <row r="105" spans="1:6" s="87" customFormat="1" x14ac:dyDescent="0.2">
      <c r="A105" s="170" t="s">
        <v>237</v>
      </c>
      <c r="B105" s="171">
        <f>43.58+20.81+43.41</f>
        <v>107.8</v>
      </c>
      <c r="C105" s="175" t="s">
        <v>291</v>
      </c>
      <c r="D105" s="175" t="s">
        <v>300</v>
      </c>
      <c r="E105" s="176" t="s">
        <v>177</v>
      </c>
      <c r="F105" s="1"/>
    </row>
    <row r="106" spans="1:6" s="87" customFormat="1" x14ac:dyDescent="0.2">
      <c r="A106" s="170" t="s">
        <v>237</v>
      </c>
      <c r="B106" s="171">
        <v>29.81</v>
      </c>
      <c r="C106" s="175" t="s">
        <v>292</v>
      </c>
      <c r="D106" s="175" t="s">
        <v>182</v>
      </c>
      <c r="E106" s="176"/>
      <c r="F106" s="1"/>
    </row>
    <row r="107" spans="1:6" s="87" customFormat="1" x14ac:dyDescent="0.2">
      <c r="A107" s="170" t="s">
        <v>237</v>
      </c>
      <c r="B107" s="171">
        <v>7.98</v>
      </c>
      <c r="C107" s="175" t="s">
        <v>289</v>
      </c>
      <c r="D107" s="175" t="s">
        <v>300</v>
      </c>
      <c r="E107" s="176" t="s">
        <v>176</v>
      </c>
      <c r="F107" s="1"/>
    </row>
    <row r="108" spans="1:6" s="87" customFormat="1" x14ac:dyDescent="0.2">
      <c r="A108" s="170" t="s">
        <v>237</v>
      </c>
      <c r="B108" s="171">
        <v>50.09</v>
      </c>
      <c r="C108" s="175" t="s">
        <v>293</v>
      </c>
      <c r="D108" s="175" t="s">
        <v>197</v>
      </c>
      <c r="E108" s="176" t="s">
        <v>191</v>
      </c>
      <c r="F108" s="1"/>
    </row>
    <row r="109" spans="1:6" s="87" customFormat="1" hidden="1" x14ac:dyDescent="0.2">
      <c r="A109" s="169"/>
      <c r="B109" s="158"/>
      <c r="C109" s="159"/>
      <c r="D109" s="159"/>
      <c r="E109" s="160"/>
      <c r="F109" s="1"/>
    </row>
    <row r="110" spans="1:6" s="87" customFormat="1" hidden="1" x14ac:dyDescent="0.2">
      <c r="A110" s="147"/>
      <c r="B110" s="148"/>
      <c r="C110" s="149"/>
      <c r="D110" s="149"/>
      <c r="E110" s="150"/>
      <c r="F110" s="1"/>
    </row>
    <row r="111" spans="1:6" ht="19.5" customHeight="1" x14ac:dyDescent="0.2">
      <c r="A111" s="107" t="s">
        <v>125</v>
      </c>
      <c r="B111" s="108">
        <f>SUM(B26:B110)</f>
        <v>15781.68999999999</v>
      </c>
      <c r="C111" s="168" t="str">
        <f>IF(SUBTOTAL(3,B26:B110)=SUBTOTAL(103,B26:B110),'Summary and sign-off'!$A$48,'Summary and sign-off'!$A$49)</f>
        <v>Check - there are no hidden rows with data</v>
      </c>
      <c r="D111" s="186" t="str">
        <f>IF('Summary and sign-off'!F56='Summary and sign-off'!F54,'Summary and sign-off'!A51,'Summary and sign-off'!A50)</f>
        <v>Check - each entry provides sufficient information</v>
      </c>
      <c r="E111" s="186"/>
      <c r="F111" s="46"/>
    </row>
    <row r="112" spans="1:6" ht="10.5" customHeight="1" x14ac:dyDescent="0.2">
      <c r="A112" s="27"/>
      <c r="B112" s="22"/>
      <c r="C112" s="27"/>
      <c r="D112" s="27"/>
      <c r="E112" s="27"/>
      <c r="F112" s="27"/>
    </row>
    <row r="113" spans="1:6" ht="24.75" customHeight="1" x14ac:dyDescent="0.2">
      <c r="A113" s="187" t="s">
        <v>126</v>
      </c>
      <c r="B113" s="187"/>
      <c r="C113" s="187"/>
      <c r="D113" s="187"/>
      <c r="E113" s="187"/>
      <c r="F113" s="46"/>
    </row>
    <row r="114" spans="1:6" ht="27" customHeight="1" x14ac:dyDescent="0.2">
      <c r="A114" s="35" t="s">
        <v>117</v>
      </c>
      <c r="B114" s="35" t="s">
        <v>62</v>
      </c>
      <c r="C114" s="35" t="s">
        <v>127</v>
      </c>
      <c r="D114" s="35" t="s">
        <v>128</v>
      </c>
      <c r="E114" s="35" t="s">
        <v>121</v>
      </c>
      <c r="F114" s="49"/>
    </row>
    <row r="115" spans="1:6" s="87" customFormat="1" hidden="1" x14ac:dyDescent="0.2">
      <c r="A115" s="133"/>
      <c r="B115" s="134"/>
      <c r="C115" s="135"/>
      <c r="D115" s="135"/>
      <c r="E115" s="136"/>
      <c r="F115" s="1"/>
    </row>
    <row r="116" spans="1:6" s="87" customFormat="1" hidden="1" x14ac:dyDescent="0.2">
      <c r="A116" s="157"/>
      <c r="B116" s="158"/>
      <c r="C116" s="159"/>
      <c r="D116" s="159"/>
      <c r="E116" s="160"/>
      <c r="F116" s="1"/>
    </row>
    <row r="117" spans="1:6" s="87" customFormat="1" x14ac:dyDescent="0.2">
      <c r="A117" s="170">
        <v>44680</v>
      </c>
      <c r="B117" s="171">
        <v>17.489999999999998</v>
      </c>
      <c r="C117" s="175" t="s">
        <v>193</v>
      </c>
      <c r="D117" s="175" t="s">
        <v>300</v>
      </c>
      <c r="E117" s="176" t="s">
        <v>191</v>
      </c>
      <c r="F117" s="1"/>
    </row>
    <row r="118" spans="1:6" s="87" customFormat="1" x14ac:dyDescent="0.2">
      <c r="A118" s="170">
        <v>44699</v>
      </c>
      <c r="B118" s="171">
        <v>17.41</v>
      </c>
      <c r="C118" s="175" t="s">
        <v>194</v>
      </c>
      <c r="D118" s="175" t="s">
        <v>300</v>
      </c>
      <c r="E118" s="176" t="s">
        <v>191</v>
      </c>
      <c r="F118" s="1"/>
    </row>
    <row r="119" spans="1:6" s="87" customFormat="1" hidden="1" x14ac:dyDescent="0.2">
      <c r="A119" s="169"/>
      <c r="B119" s="158"/>
      <c r="C119" s="159"/>
      <c r="D119" s="159"/>
      <c r="E119" s="160"/>
      <c r="F119" s="1"/>
    </row>
    <row r="120" spans="1:6" s="87" customFormat="1" hidden="1" x14ac:dyDescent="0.2">
      <c r="A120" s="157"/>
      <c r="B120" s="158"/>
      <c r="C120" s="159"/>
      <c r="D120" s="159"/>
      <c r="E120" s="160"/>
      <c r="F120" s="1"/>
    </row>
    <row r="121" spans="1:6" s="87" customFormat="1" hidden="1" x14ac:dyDescent="0.2">
      <c r="A121" s="133"/>
      <c r="B121" s="134"/>
      <c r="C121" s="135"/>
      <c r="D121" s="135"/>
      <c r="E121" s="136"/>
      <c r="F121" s="1"/>
    </row>
    <row r="122" spans="1:6" ht="19.5" customHeight="1" x14ac:dyDescent="0.2">
      <c r="A122" s="107" t="s">
        <v>129</v>
      </c>
      <c r="B122" s="108">
        <f>SUM(B115:B121)</f>
        <v>34.9</v>
      </c>
      <c r="C122" s="168" t="str">
        <f>IF(SUBTOTAL(3,B115:B121)=SUBTOTAL(103,B115:B121),'Summary and sign-off'!$A$48,'Summary and sign-off'!$A$49)</f>
        <v>Check - there are no hidden rows with data</v>
      </c>
      <c r="D122" s="186" t="str">
        <f>IF('Summary and sign-off'!F57='Summary and sign-off'!F54,'Summary and sign-off'!A51,'Summary and sign-off'!A50)</f>
        <v>Check - each entry provides sufficient information</v>
      </c>
      <c r="E122" s="186"/>
      <c r="F122" s="46"/>
    </row>
    <row r="123" spans="1:6" ht="10.5" customHeight="1" x14ac:dyDescent="0.2">
      <c r="A123" s="27"/>
      <c r="B123" s="92"/>
      <c r="C123" s="22"/>
      <c r="D123" s="27"/>
      <c r="E123" s="27"/>
      <c r="F123" s="27"/>
    </row>
    <row r="124" spans="1:6" ht="34.5" customHeight="1" x14ac:dyDescent="0.2">
      <c r="A124" s="50" t="s">
        <v>130</v>
      </c>
      <c r="B124" s="93">
        <f>B22+B111+B122</f>
        <v>18237.749999999989</v>
      </c>
      <c r="C124" s="51"/>
      <c r="D124" s="51"/>
      <c r="E124" s="51"/>
      <c r="F124" s="26"/>
    </row>
    <row r="125" spans="1:6" x14ac:dyDescent="0.2">
      <c r="A125" s="27"/>
      <c r="B125" s="22"/>
      <c r="C125" s="27"/>
      <c r="D125" s="27"/>
      <c r="E125" s="27"/>
      <c r="F125" s="27"/>
    </row>
    <row r="126" spans="1:6" x14ac:dyDescent="0.2">
      <c r="A126" s="52" t="s">
        <v>73</v>
      </c>
      <c r="B126" s="25"/>
      <c r="C126" s="26"/>
      <c r="D126" s="26"/>
      <c r="E126" s="26"/>
      <c r="F126" s="27"/>
    </row>
    <row r="127" spans="1:6" ht="12.6" customHeight="1" x14ac:dyDescent="0.2">
      <c r="A127" s="23" t="s">
        <v>131</v>
      </c>
      <c r="B127" s="53"/>
      <c r="C127" s="53"/>
      <c r="D127" s="32"/>
      <c r="E127" s="32"/>
      <c r="F127" s="27"/>
    </row>
    <row r="128" spans="1:6" ht="12.95" customHeight="1" x14ac:dyDescent="0.2">
      <c r="A128" s="31" t="s">
        <v>132</v>
      </c>
      <c r="B128" s="27"/>
      <c r="C128" s="32"/>
      <c r="D128" s="27"/>
      <c r="E128" s="32"/>
      <c r="F128" s="27"/>
    </row>
    <row r="129" spans="1:6" x14ac:dyDescent="0.2">
      <c r="A129" s="31" t="s">
        <v>133</v>
      </c>
      <c r="B129" s="32"/>
      <c r="C129" s="32"/>
      <c r="D129" s="32"/>
      <c r="E129" s="54"/>
      <c r="F129" s="46"/>
    </row>
    <row r="130" spans="1:6" x14ac:dyDescent="0.2">
      <c r="A130" s="23" t="s">
        <v>79</v>
      </c>
      <c r="B130" s="25"/>
      <c r="C130" s="26"/>
      <c r="D130" s="26"/>
      <c r="E130" s="26"/>
      <c r="F130" s="27"/>
    </row>
    <row r="131" spans="1:6" ht="12.95" customHeight="1" x14ac:dyDescent="0.2">
      <c r="A131" s="31" t="s">
        <v>134</v>
      </c>
      <c r="B131" s="27"/>
      <c r="C131" s="32"/>
      <c r="D131" s="27"/>
      <c r="E131" s="32"/>
      <c r="F131" s="27"/>
    </row>
    <row r="132" spans="1:6" x14ac:dyDescent="0.2">
      <c r="A132" s="31" t="s">
        <v>135</v>
      </c>
      <c r="B132" s="32"/>
      <c r="C132" s="32"/>
      <c r="D132" s="32"/>
      <c r="E132" s="54"/>
      <c r="F132" s="46"/>
    </row>
    <row r="133" spans="1:6" x14ac:dyDescent="0.2">
      <c r="A133" s="36" t="s">
        <v>136</v>
      </c>
      <c r="B133" s="36"/>
      <c r="C133" s="36"/>
      <c r="D133" s="36"/>
      <c r="E133" s="54"/>
      <c r="F133" s="46"/>
    </row>
    <row r="134" spans="1:6" x14ac:dyDescent="0.2">
      <c r="A134" s="40"/>
      <c r="B134" s="27"/>
      <c r="C134" s="27"/>
      <c r="D134" s="27"/>
      <c r="E134" s="46"/>
      <c r="F134" s="46"/>
    </row>
    <row r="135" spans="1:6" hidden="1" x14ac:dyDescent="0.2">
      <c r="A135" s="40"/>
      <c r="B135" s="27"/>
      <c r="C135" s="27"/>
      <c r="D135" s="27"/>
      <c r="E135" s="46"/>
      <c r="F135" s="46"/>
    </row>
    <row r="136" spans="1:6" x14ac:dyDescent="0.2"/>
    <row r="137" spans="1:6" x14ac:dyDescent="0.2"/>
    <row r="138" spans="1:6" x14ac:dyDescent="0.2"/>
    <row r="139" spans="1:6" x14ac:dyDescent="0.2"/>
    <row r="140" spans="1:6" ht="12.75" hidden="1" customHeight="1" x14ac:dyDescent="0.2"/>
    <row r="141" spans="1:6" x14ac:dyDescent="0.2"/>
    <row r="142" spans="1:6" x14ac:dyDescent="0.2"/>
    <row r="143" spans="1:6" hidden="1" x14ac:dyDescent="0.2">
      <c r="A143" s="55"/>
      <c r="B143" s="46"/>
      <c r="C143" s="46"/>
      <c r="D143" s="46"/>
      <c r="E143" s="46"/>
      <c r="F143" s="46"/>
    </row>
    <row r="144" spans="1:6" hidden="1" x14ac:dyDescent="0.2">
      <c r="A144" s="55"/>
      <c r="B144" s="46"/>
      <c r="C144" s="46"/>
      <c r="D144" s="46"/>
      <c r="E144" s="46"/>
      <c r="F144" s="46"/>
    </row>
    <row r="145" spans="1:6" hidden="1" x14ac:dyDescent="0.2">
      <c r="A145" s="55"/>
      <c r="B145" s="46"/>
      <c r="C145" s="46"/>
      <c r="D145" s="46"/>
      <c r="E145" s="46"/>
      <c r="F145" s="46"/>
    </row>
    <row r="146" spans="1:6" hidden="1" x14ac:dyDescent="0.2">
      <c r="A146" s="55"/>
      <c r="B146" s="46"/>
      <c r="C146" s="46"/>
      <c r="D146" s="46"/>
      <c r="E146" s="46"/>
      <c r="F146" s="46"/>
    </row>
    <row r="147" spans="1:6" hidden="1" x14ac:dyDescent="0.2">
      <c r="A147" s="55"/>
      <c r="B147" s="46"/>
      <c r="C147" s="46"/>
      <c r="D147" s="46"/>
      <c r="E147" s="46"/>
      <c r="F147" s="46"/>
    </row>
    <row r="148" spans="1:6" x14ac:dyDescent="0.2"/>
    <row r="149" spans="1:6" x14ac:dyDescent="0.2"/>
    <row r="150" spans="1:6" x14ac:dyDescent="0.2"/>
    <row r="151" spans="1:6" x14ac:dyDescent="0.2"/>
    <row r="152" spans="1:6" x14ac:dyDescent="0.2"/>
    <row r="153" spans="1:6" x14ac:dyDescent="0.2"/>
    <row r="154" spans="1:6" x14ac:dyDescent="0.2"/>
    <row r="155" spans="1:6" x14ac:dyDescent="0.2"/>
    <row r="156" spans="1:6" x14ac:dyDescent="0.2"/>
    <row r="157" spans="1:6" x14ac:dyDescent="0.2"/>
    <row r="158" spans="1:6" x14ac:dyDescent="0.2"/>
    <row r="159" spans="1:6" x14ac:dyDescent="0.2"/>
    <row r="160" spans="1:6" x14ac:dyDescent="0.2"/>
    <row r="161" x14ac:dyDescent="0.2"/>
  </sheetData>
  <sheetProtection sheet="1" formatCells="0" formatRows="0" insertColumns="0" insertRows="0" deleteRows="0"/>
  <mergeCells count="15">
    <mergeCell ref="B7:E7"/>
    <mergeCell ref="B5:E5"/>
    <mergeCell ref="D122:E122"/>
    <mergeCell ref="A1:E1"/>
    <mergeCell ref="A24:E24"/>
    <mergeCell ref="A113:E113"/>
    <mergeCell ref="B2:E2"/>
    <mergeCell ref="B3:E3"/>
    <mergeCell ref="B4:E4"/>
    <mergeCell ref="A8:E8"/>
    <mergeCell ref="A9:E9"/>
    <mergeCell ref="B6:E6"/>
    <mergeCell ref="D22:E22"/>
    <mergeCell ref="D111:E11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09:A110 A12 A21 A115 A12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16:A120 A27:A10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B26:B86 B115:B121 B89:B110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5" sqref="C1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82" t="s">
        <v>109</v>
      </c>
      <c r="B1" s="182"/>
      <c r="C1" s="182"/>
      <c r="D1" s="182"/>
      <c r="E1" s="182"/>
      <c r="F1" s="38"/>
    </row>
    <row r="2" spans="1:6" ht="21" customHeight="1" x14ac:dyDescent="0.2">
      <c r="A2" s="4" t="s">
        <v>52</v>
      </c>
      <c r="B2" s="185" t="str">
        <f>'Summary and sign-off'!B2:F2</f>
        <v>Southern District Health Board</v>
      </c>
      <c r="C2" s="185"/>
      <c r="D2" s="185"/>
      <c r="E2" s="185"/>
      <c r="F2" s="38"/>
    </row>
    <row r="3" spans="1:6" ht="21" customHeight="1" x14ac:dyDescent="0.2">
      <c r="A3" s="4" t="s">
        <v>110</v>
      </c>
      <c r="B3" s="185" t="str">
        <f>'Summary and sign-off'!B3:F3</f>
        <v>Chris Fleming</v>
      </c>
      <c r="C3" s="185"/>
      <c r="D3" s="185"/>
      <c r="E3" s="185"/>
      <c r="F3" s="38"/>
    </row>
    <row r="4" spans="1:6" ht="21" customHeight="1" x14ac:dyDescent="0.2">
      <c r="A4" s="4" t="s">
        <v>111</v>
      </c>
      <c r="B4" s="185">
        <f>'Summary and sign-off'!B4:F4</f>
        <v>44378</v>
      </c>
      <c r="C4" s="185"/>
      <c r="D4" s="185"/>
      <c r="E4" s="185"/>
      <c r="F4" s="38"/>
    </row>
    <row r="5" spans="1:6" ht="21" customHeight="1" x14ac:dyDescent="0.2">
      <c r="A5" s="4" t="s">
        <v>112</v>
      </c>
      <c r="B5" s="185">
        <f>'Summary and sign-off'!B5:F5</f>
        <v>44742</v>
      </c>
      <c r="C5" s="185"/>
      <c r="D5" s="185"/>
      <c r="E5" s="185"/>
      <c r="F5" s="38"/>
    </row>
    <row r="6" spans="1:6" ht="21" customHeight="1" x14ac:dyDescent="0.2">
      <c r="A6" s="4" t="s">
        <v>113</v>
      </c>
      <c r="B6" s="180" t="s">
        <v>81</v>
      </c>
      <c r="C6" s="180"/>
      <c r="D6" s="180"/>
      <c r="E6" s="180"/>
      <c r="F6" s="38"/>
    </row>
    <row r="7" spans="1:6" ht="21" customHeight="1" x14ac:dyDescent="0.2">
      <c r="A7" s="4" t="s">
        <v>56</v>
      </c>
      <c r="B7" s="180" t="s">
        <v>83</v>
      </c>
      <c r="C7" s="180"/>
      <c r="D7" s="180"/>
      <c r="E7" s="180"/>
      <c r="F7" s="38"/>
    </row>
    <row r="8" spans="1:6" ht="35.25" customHeight="1" x14ac:dyDescent="0.25">
      <c r="A8" s="195" t="s">
        <v>137</v>
      </c>
      <c r="B8" s="195"/>
      <c r="C8" s="196"/>
      <c r="D8" s="196"/>
      <c r="E8" s="196"/>
      <c r="F8" s="42"/>
    </row>
    <row r="9" spans="1:6" ht="35.25" customHeight="1" x14ac:dyDescent="0.25">
      <c r="A9" s="193" t="s">
        <v>138</v>
      </c>
      <c r="B9" s="194"/>
      <c r="C9" s="194"/>
      <c r="D9" s="194"/>
      <c r="E9" s="19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69">
        <v>44546</v>
      </c>
      <c r="B13" s="158">
        <v>1241.74</v>
      </c>
      <c r="C13" s="162" t="s">
        <v>221</v>
      </c>
      <c r="D13" s="162" t="s">
        <v>249</v>
      </c>
      <c r="E13" s="163" t="s">
        <v>191</v>
      </c>
      <c r="F13" s="2"/>
    </row>
    <row r="14" spans="1:6" s="87" customFormat="1" x14ac:dyDescent="0.2">
      <c r="A14" s="157"/>
      <c r="B14" s="158"/>
      <c r="C14" s="162"/>
      <c r="D14" s="162"/>
      <c r="E14" s="163"/>
      <c r="F14" s="2"/>
    </row>
    <row r="15" spans="1:6" s="87" customFormat="1" x14ac:dyDescent="0.2">
      <c r="A15" s="161"/>
      <c r="B15" s="158"/>
      <c r="C15" s="162"/>
      <c r="D15" s="162"/>
      <c r="E15" s="163"/>
      <c r="F15" s="2"/>
    </row>
    <row r="16" spans="1:6" s="87" customFormat="1" x14ac:dyDescent="0.2">
      <c r="A16" s="161"/>
      <c r="B16" s="158"/>
      <c r="C16" s="162"/>
      <c r="D16" s="162"/>
      <c r="E16" s="163"/>
      <c r="F16" s="2"/>
    </row>
    <row r="17" spans="1:6" s="87" customFormat="1" ht="11.25" hidden="1" customHeight="1" x14ac:dyDescent="0.2">
      <c r="A17" s="137"/>
      <c r="B17" s="134"/>
      <c r="C17" s="138"/>
      <c r="D17" s="138"/>
      <c r="E17" s="139"/>
      <c r="F17" s="2"/>
    </row>
    <row r="18" spans="1:6" ht="34.5" customHeight="1" x14ac:dyDescent="0.2">
      <c r="A18" s="88" t="s">
        <v>142</v>
      </c>
      <c r="B18" s="97">
        <f>SUM(B11:B17)</f>
        <v>1241.74</v>
      </c>
      <c r="C18" s="106" t="str">
        <f>IF(SUBTOTAL(3,B11:B17)=SUBTOTAL(103,B11:B17),'Summary and sign-off'!$A$48,'Summary and sign-off'!$A$49)</f>
        <v>Check - there are no hidden rows with data</v>
      </c>
      <c r="D18" s="186" t="str">
        <f>IF('Summary and sign-off'!F58='Summary and sign-off'!F54,'Summary and sign-off'!A51,'Summary and sign-off'!A50)</f>
        <v>Check - each entry provides sufficient information</v>
      </c>
      <c r="E18" s="186"/>
      <c r="F18" s="2"/>
    </row>
    <row r="19" spans="1:6" x14ac:dyDescent="0.2">
      <c r="A19" s="21"/>
      <c r="B19" s="20"/>
      <c r="C19" s="20"/>
      <c r="D19" s="20"/>
      <c r="E19" s="20"/>
      <c r="F19" s="38"/>
    </row>
    <row r="20" spans="1:6" x14ac:dyDescent="0.2">
      <c r="A20" s="21" t="s">
        <v>73</v>
      </c>
      <c r="B20" s="22"/>
      <c r="C20" s="27"/>
      <c r="D20" s="20"/>
      <c r="E20" s="20"/>
      <c r="F20" s="38"/>
    </row>
    <row r="21" spans="1:6" ht="12.75" customHeight="1" x14ac:dyDescent="0.2">
      <c r="A21" s="23" t="s">
        <v>143</v>
      </c>
      <c r="B21" s="23"/>
      <c r="C21" s="23"/>
      <c r="D21" s="23"/>
      <c r="E21" s="23"/>
      <c r="F21" s="38"/>
    </row>
    <row r="22" spans="1:6" x14ac:dyDescent="0.2">
      <c r="A22" s="23" t="s">
        <v>144</v>
      </c>
      <c r="B22" s="31"/>
      <c r="C22" s="43"/>
      <c r="D22" s="44"/>
      <c r="E22" s="44"/>
      <c r="F22" s="38"/>
    </row>
    <row r="23" spans="1:6" x14ac:dyDescent="0.2">
      <c r="A23" s="23" t="s">
        <v>79</v>
      </c>
      <c r="B23" s="25"/>
      <c r="C23" s="26"/>
      <c r="D23" s="26"/>
      <c r="E23" s="26"/>
      <c r="F23" s="27"/>
    </row>
    <row r="24" spans="1:6" x14ac:dyDescent="0.2">
      <c r="A24" s="31" t="s">
        <v>145</v>
      </c>
      <c r="B24" s="31"/>
      <c r="C24" s="43"/>
      <c r="D24" s="43"/>
      <c r="E24" s="43"/>
      <c r="F24" s="38"/>
    </row>
    <row r="25" spans="1:6" ht="12.75" customHeight="1" x14ac:dyDescent="0.2">
      <c r="A25" s="31" t="s">
        <v>146</v>
      </c>
      <c r="B25" s="31"/>
      <c r="C25" s="45"/>
      <c r="D25" s="45"/>
      <c r="E25" s="33"/>
      <c r="F25" s="38"/>
    </row>
    <row r="26" spans="1:6" x14ac:dyDescent="0.2">
      <c r="A26" s="20"/>
      <c r="B26" s="20"/>
      <c r="C26" s="20"/>
      <c r="D26" s="20"/>
      <c r="E26" s="20"/>
      <c r="F26" s="38"/>
    </row>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8:E18"/>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3"/>
  <sheetViews>
    <sheetView zoomScaleNormal="100" workbookViewId="0">
      <selection activeCell="B13" sqref="B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82" t="s">
        <v>109</v>
      </c>
      <c r="B1" s="182"/>
      <c r="C1" s="182"/>
      <c r="D1" s="182"/>
      <c r="E1" s="182"/>
      <c r="F1" s="24"/>
    </row>
    <row r="2" spans="1:6" ht="21" customHeight="1" x14ac:dyDescent="0.2">
      <c r="A2" s="4" t="s">
        <v>52</v>
      </c>
      <c r="B2" s="185" t="str">
        <f>'Summary and sign-off'!B2:F2</f>
        <v>Southern District Health Board</v>
      </c>
      <c r="C2" s="185"/>
      <c r="D2" s="185"/>
      <c r="E2" s="185"/>
      <c r="F2" s="24"/>
    </row>
    <row r="3" spans="1:6" ht="21" customHeight="1" x14ac:dyDescent="0.2">
      <c r="A3" s="4" t="s">
        <v>110</v>
      </c>
      <c r="B3" s="185" t="str">
        <f>'Summary and sign-off'!B3:F3</f>
        <v>Chris Fleming</v>
      </c>
      <c r="C3" s="185"/>
      <c r="D3" s="185"/>
      <c r="E3" s="185"/>
      <c r="F3" s="24"/>
    </row>
    <row r="4" spans="1:6" ht="21" customHeight="1" x14ac:dyDescent="0.2">
      <c r="A4" s="4" t="s">
        <v>111</v>
      </c>
      <c r="B4" s="185">
        <f>'Summary and sign-off'!B4:F4</f>
        <v>44378</v>
      </c>
      <c r="C4" s="185"/>
      <c r="D4" s="185"/>
      <c r="E4" s="185"/>
      <c r="F4" s="24"/>
    </row>
    <row r="5" spans="1:6" ht="21" customHeight="1" x14ac:dyDescent="0.2">
      <c r="A5" s="4" t="s">
        <v>112</v>
      </c>
      <c r="B5" s="185">
        <f>'Summary and sign-off'!B5:F5</f>
        <v>44742</v>
      </c>
      <c r="C5" s="185"/>
      <c r="D5" s="185"/>
      <c r="E5" s="185"/>
      <c r="F5" s="24"/>
    </row>
    <row r="6" spans="1:6" ht="21" customHeight="1" x14ac:dyDescent="0.2">
      <c r="A6" s="4" t="s">
        <v>113</v>
      </c>
      <c r="B6" s="180" t="s">
        <v>81</v>
      </c>
      <c r="C6" s="180"/>
      <c r="D6" s="180"/>
      <c r="E6" s="180"/>
      <c r="F6" s="34"/>
    </row>
    <row r="7" spans="1:6" ht="21" customHeight="1" x14ac:dyDescent="0.2">
      <c r="A7" s="4" t="s">
        <v>56</v>
      </c>
      <c r="B7" s="180" t="s">
        <v>83</v>
      </c>
      <c r="C7" s="180"/>
      <c r="D7" s="180"/>
      <c r="E7" s="180"/>
      <c r="F7" s="34"/>
    </row>
    <row r="8" spans="1:6" ht="35.25" customHeight="1" x14ac:dyDescent="0.2">
      <c r="A8" s="189" t="s">
        <v>147</v>
      </c>
      <c r="B8" s="189"/>
      <c r="C8" s="196"/>
      <c r="D8" s="196"/>
      <c r="E8" s="196"/>
      <c r="F8" s="24"/>
    </row>
    <row r="9" spans="1:6" ht="35.25" customHeight="1" x14ac:dyDescent="0.2">
      <c r="A9" s="197" t="s">
        <v>148</v>
      </c>
      <c r="B9" s="198"/>
      <c r="C9" s="198"/>
      <c r="D9" s="198"/>
      <c r="E9" s="198"/>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ht="25.5" x14ac:dyDescent="0.2">
      <c r="A12" s="170">
        <v>44385</v>
      </c>
      <c r="B12" s="171">
        <v>10500</v>
      </c>
      <c r="C12" s="172" t="s">
        <v>246</v>
      </c>
      <c r="D12" s="172" t="s">
        <v>195</v>
      </c>
      <c r="E12" s="173" t="s">
        <v>247</v>
      </c>
      <c r="F12" s="3"/>
    </row>
    <row r="13" spans="1:6" s="87" customFormat="1" x14ac:dyDescent="0.2">
      <c r="A13" s="170">
        <v>44412</v>
      </c>
      <c r="B13" s="171">
        <v>3500</v>
      </c>
      <c r="C13" s="172" t="s">
        <v>242</v>
      </c>
      <c r="D13" s="172" t="s">
        <v>244</v>
      </c>
      <c r="E13" s="173" t="s">
        <v>191</v>
      </c>
      <c r="F13" s="3"/>
    </row>
    <row r="14" spans="1:6" s="87" customFormat="1" x14ac:dyDescent="0.2">
      <c r="A14" s="170">
        <v>44423</v>
      </c>
      <c r="B14" s="171">
        <v>86.95</v>
      </c>
      <c r="C14" s="172" t="s">
        <v>236</v>
      </c>
      <c r="D14" s="172" t="s">
        <v>243</v>
      </c>
      <c r="E14" s="173" t="s">
        <v>191</v>
      </c>
      <c r="F14" s="3"/>
    </row>
    <row r="15" spans="1:6" s="87" customFormat="1" x14ac:dyDescent="0.2">
      <c r="A15" s="170">
        <v>44663</v>
      </c>
      <c r="B15" s="171">
        <v>3771</v>
      </c>
      <c r="C15" s="172" t="s">
        <v>241</v>
      </c>
      <c r="D15" s="172" t="s">
        <v>244</v>
      </c>
      <c r="E15" s="173" t="s">
        <v>175</v>
      </c>
      <c r="F15" s="3"/>
    </row>
    <row r="16" spans="1:6" s="87" customFormat="1" x14ac:dyDescent="0.2">
      <c r="A16" s="170">
        <v>44682</v>
      </c>
      <c r="B16" s="171">
        <v>24.34</v>
      </c>
      <c r="C16" s="172" t="s">
        <v>211</v>
      </c>
      <c r="D16" s="172" t="s">
        <v>243</v>
      </c>
      <c r="E16" s="173" t="s">
        <v>191</v>
      </c>
      <c r="F16" s="3"/>
    </row>
    <row r="17" spans="1:6" s="87" customFormat="1" x14ac:dyDescent="0.2">
      <c r="A17" s="170">
        <v>44699</v>
      </c>
      <c r="B17" s="171">
        <v>734.78</v>
      </c>
      <c r="C17" s="172" t="s">
        <v>212</v>
      </c>
      <c r="D17" s="172" t="s">
        <v>195</v>
      </c>
      <c r="E17" s="173" t="s">
        <v>248</v>
      </c>
      <c r="F17" s="3"/>
    </row>
    <row r="18" spans="1:6" s="87" customFormat="1" x14ac:dyDescent="0.2">
      <c r="A18" s="174" t="s">
        <v>245</v>
      </c>
      <c r="B18" s="171">
        <v>936.49</v>
      </c>
      <c r="C18" s="172" t="s">
        <v>183</v>
      </c>
      <c r="D18" s="172" t="s">
        <v>184</v>
      </c>
      <c r="E18" s="173" t="s">
        <v>191</v>
      </c>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hidden="1" x14ac:dyDescent="0.2">
      <c r="A21" s="137"/>
      <c r="B21" s="134"/>
      <c r="C21" s="138"/>
      <c r="D21" s="138"/>
      <c r="E21" s="139"/>
      <c r="F21" s="3"/>
    </row>
    <row r="22" spans="1:6" ht="34.5" customHeight="1" x14ac:dyDescent="0.2">
      <c r="A22" s="88" t="s">
        <v>151</v>
      </c>
      <c r="B22" s="97">
        <f>SUM(B11:B21)</f>
        <v>19553.560000000001</v>
      </c>
      <c r="C22" s="106" t="str">
        <f>IF(SUBTOTAL(3,B11:B21)=SUBTOTAL(103,B11:B21),'Summary and sign-off'!$A$48,'Summary and sign-off'!$A$49)</f>
        <v>Check - there are no hidden rows with data</v>
      </c>
      <c r="D22" s="186" t="str">
        <f>IF('Summary and sign-off'!F59='Summary and sign-off'!F54,'Summary and sign-off'!A51,'Summary and sign-off'!A50)</f>
        <v>Check - each entry provides sufficient information</v>
      </c>
      <c r="E22" s="186"/>
      <c r="F22" s="37"/>
    </row>
    <row r="23" spans="1:6" ht="14.1" customHeight="1" x14ac:dyDescent="0.2">
      <c r="A23" s="38"/>
      <c r="B23" s="27"/>
      <c r="C23" s="20"/>
      <c r="D23" s="20"/>
      <c r="E23" s="20"/>
      <c r="F23" s="24"/>
    </row>
    <row r="24" spans="1:6" x14ac:dyDescent="0.2">
      <c r="A24" s="21" t="s">
        <v>152</v>
      </c>
      <c r="B24" s="20"/>
      <c r="C24" s="20"/>
      <c r="D24" s="20"/>
      <c r="E24" s="20"/>
      <c r="F24" s="24"/>
    </row>
    <row r="25" spans="1:6" ht="12.6" customHeight="1" x14ac:dyDescent="0.2">
      <c r="A25" s="23" t="s">
        <v>131</v>
      </c>
      <c r="B25" s="20"/>
      <c r="C25" s="20"/>
      <c r="D25" s="20"/>
      <c r="E25" s="20"/>
      <c r="F25" s="24"/>
    </row>
    <row r="26" spans="1:6" x14ac:dyDescent="0.2">
      <c r="A26" s="23" t="s">
        <v>79</v>
      </c>
      <c r="B26" s="25"/>
      <c r="C26" s="26"/>
      <c r="D26" s="26"/>
      <c r="E26" s="26"/>
      <c r="F26" s="27"/>
    </row>
    <row r="27" spans="1:6" x14ac:dyDescent="0.2">
      <c r="A27" s="31" t="s">
        <v>145</v>
      </c>
      <c r="B27" s="32"/>
      <c r="C27" s="27"/>
      <c r="D27" s="27"/>
      <c r="E27" s="27"/>
      <c r="F27" s="27"/>
    </row>
    <row r="28" spans="1:6" ht="12.75" customHeight="1" x14ac:dyDescent="0.2">
      <c r="A28" s="31" t="s">
        <v>146</v>
      </c>
      <c r="B28" s="39"/>
      <c r="C28" s="33"/>
      <c r="D28" s="33"/>
      <c r="E28" s="33"/>
      <c r="F28" s="33"/>
    </row>
    <row r="29" spans="1:6" x14ac:dyDescent="0.2">
      <c r="A29" s="38"/>
      <c r="B29" s="40"/>
      <c r="C29" s="20"/>
      <c r="D29" s="20"/>
      <c r="E29" s="20"/>
      <c r="F29" s="38"/>
    </row>
    <row r="30" spans="1:6" hidden="1" x14ac:dyDescent="0.2">
      <c r="A30" s="20"/>
      <c r="B30" s="20"/>
      <c r="C30" s="20"/>
      <c r="D30" s="20"/>
      <c r="E30" s="38"/>
    </row>
    <row r="31" spans="1:6" ht="12.75" hidden="1" customHeight="1" x14ac:dyDescent="0.2"/>
    <row r="32" spans="1:6" hidden="1" x14ac:dyDescent="0.2">
      <c r="A32" s="41"/>
      <c r="B32" s="41"/>
      <c r="C32" s="41"/>
      <c r="D32" s="41"/>
      <c r="E32" s="41"/>
      <c r="F32" s="24"/>
    </row>
    <row r="33" spans="1:6" hidden="1" x14ac:dyDescent="0.2">
      <c r="A33" s="41"/>
      <c r="B33" s="41"/>
      <c r="C33" s="41"/>
      <c r="D33" s="41"/>
      <c r="E33" s="41"/>
      <c r="F33" s="24"/>
    </row>
    <row r="34" spans="1:6" hidden="1" x14ac:dyDescent="0.2">
      <c r="A34" s="41"/>
      <c r="B34" s="41"/>
      <c r="C34" s="41"/>
      <c r="D34" s="41"/>
      <c r="E34" s="41"/>
      <c r="F34" s="24"/>
    </row>
    <row r="35" spans="1:6" hidden="1" x14ac:dyDescent="0.2">
      <c r="A35" s="41"/>
      <c r="B35" s="41"/>
      <c r="C35" s="41"/>
      <c r="D35" s="41"/>
      <c r="E35" s="41"/>
      <c r="F35" s="24"/>
    </row>
    <row r="36" spans="1:6" hidden="1" x14ac:dyDescent="0.2">
      <c r="A36" s="41"/>
      <c r="B36" s="41"/>
      <c r="C36" s="41"/>
      <c r="D36" s="41"/>
      <c r="E36" s="41"/>
      <c r="F36" s="24"/>
    </row>
    <row r="37" spans="1:6" x14ac:dyDescent="0.2"/>
    <row r="38" spans="1:6" x14ac:dyDescent="0.2"/>
    <row r="39" spans="1:6" x14ac:dyDescent="0.2"/>
    <row r="40" spans="1:6" x14ac:dyDescent="0.2"/>
    <row r="41" spans="1:6" x14ac:dyDescent="0.2"/>
    <row r="42" spans="1:6" x14ac:dyDescent="0.2"/>
    <row r="43" spans="1:6" x14ac:dyDescent="0.2"/>
  </sheetData>
  <sheetProtection sheet="1" formatCells="0" insertRows="0" deleteRows="0"/>
  <mergeCells count="10">
    <mergeCell ref="D22:E2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5:A20 A12:A1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4"/>
  <sheetViews>
    <sheetView topLeftCell="A4" zoomScaleNormal="100" workbookViewId="0">
      <selection activeCell="G9" sqref="G9"/>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82" t="s">
        <v>153</v>
      </c>
      <c r="B1" s="182"/>
      <c r="C1" s="182"/>
      <c r="D1" s="182"/>
      <c r="E1" s="182"/>
      <c r="F1" s="182"/>
    </row>
    <row r="2" spans="1:6" ht="21" customHeight="1" x14ac:dyDescent="0.2">
      <c r="A2" s="4" t="s">
        <v>52</v>
      </c>
      <c r="B2" s="185" t="str">
        <f>'Summary and sign-off'!B2:F2</f>
        <v>Southern District Health Board</v>
      </c>
      <c r="C2" s="185"/>
      <c r="D2" s="185"/>
      <c r="E2" s="185"/>
      <c r="F2" s="185"/>
    </row>
    <row r="3" spans="1:6" ht="21" customHeight="1" x14ac:dyDescent="0.2">
      <c r="A3" s="4" t="s">
        <v>110</v>
      </c>
      <c r="B3" s="185" t="str">
        <f>'Summary and sign-off'!B3:F3</f>
        <v>Chris Fleming</v>
      </c>
      <c r="C3" s="185"/>
      <c r="D3" s="185"/>
      <c r="E3" s="185"/>
      <c r="F3" s="185"/>
    </row>
    <row r="4" spans="1:6" ht="21" customHeight="1" x14ac:dyDescent="0.2">
      <c r="A4" s="4" t="s">
        <v>111</v>
      </c>
      <c r="B4" s="185">
        <f>'Summary and sign-off'!B4:F4</f>
        <v>44378</v>
      </c>
      <c r="C4" s="185"/>
      <c r="D4" s="185"/>
      <c r="E4" s="185"/>
      <c r="F4" s="185"/>
    </row>
    <row r="5" spans="1:6" ht="21" customHeight="1" x14ac:dyDescent="0.2">
      <c r="A5" s="4" t="s">
        <v>112</v>
      </c>
      <c r="B5" s="185">
        <f>'Summary and sign-off'!B5:F5</f>
        <v>44742</v>
      </c>
      <c r="C5" s="185"/>
      <c r="D5" s="185"/>
      <c r="E5" s="185"/>
      <c r="F5" s="185"/>
    </row>
    <row r="6" spans="1:6" ht="21" customHeight="1" x14ac:dyDescent="0.2">
      <c r="A6" s="4" t="s">
        <v>154</v>
      </c>
      <c r="B6" s="180"/>
      <c r="C6" s="180"/>
      <c r="D6" s="180"/>
      <c r="E6" s="180"/>
      <c r="F6" s="180"/>
    </row>
    <row r="7" spans="1:6" ht="21" customHeight="1" x14ac:dyDescent="0.2">
      <c r="A7" s="4" t="s">
        <v>56</v>
      </c>
      <c r="B7" s="180" t="s">
        <v>83</v>
      </c>
      <c r="C7" s="180"/>
      <c r="D7" s="180"/>
      <c r="E7" s="180"/>
      <c r="F7" s="180"/>
    </row>
    <row r="8" spans="1:6" ht="36" customHeight="1" x14ac:dyDescent="0.2">
      <c r="A8" s="189" t="s">
        <v>155</v>
      </c>
      <c r="B8" s="189"/>
      <c r="C8" s="189"/>
      <c r="D8" s="189"/>
      <c r="E8" s="189"/>
      <c r="F8" s="189"/>
    </row>
    <row r="9" spans="1:6" ht="36" customHeight="1" x14ac:dyDescent="0.2">
      <c r="A9" s="197" t="s">
        <v>156</v>
      </c>
      <c r="B9" s="198"/>
      <c r="C9" s="198"/>
      <c r="D9" s="198"/>
      <c r="E9" s="198"/>
      <c r="F9" s="198"/>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t="s">
        <v>297</v>
      </c>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hidden="1" x14ac:dyDescent="0.2">
      <c r="A17" s="133"/>
      <c r="B17" s="138"/>
      <c r="C17" s="140"/>
      <c r="D17" s="138"/>
      <c r="E17" s="141"/>
      <c r="F17" s="139"/>
    </row>
    <row r="18" spans="1:7" ht="34.5" customHeight="1" x14ac:dyDescent="0.2">
      <c r="A18" s="152" t="s">
        <v>162</v>
      </c>
      <c r="B18" s="153" t="s">
        <v>163</v>
      </c>
      <c r="C18" s="154">
        <f>C19+C20</f>
        <v>0</v>
      </c>
      <c r="D18" s="155" t="str">
        <f>IF(SUBTOTAL(3,C11:C17)=SUBTOTAL(103,C11:C17),'Summary and sign-off'!$A$48,'Summary and sign-off'!$A$49)</f>
        <v>Check - there are no hidden rows with data</v>
      </c>
      <c r="E18" s="186" t="str">
        <f>IF('Summary and sign-off'!F60='Summary and sign-off'!F54,'Summary and sign-off'!A52,'Summary and sign-off'!A50)</f>
        <v>Check - each entry provides sufficient information</v>
      </c>
      <c r="F18" s="186"/>
      <c r="G18" s="87"/>
    </row>
    <row r="19" spans="1:7" ht="25.5" customHeight="1" x14ac:dyDescent="0.25">
      <c r="A19" s="89"/>
      <c r="B19" s="90" t="s">
        <v>96</v>
      </c>
      <c r="C19" s="91">
        <f>COUNTIF(C11:C17,'Summary and sign-off'!A45)</f>
        <v>0</v>
      </c>
      <c r="D19" s="17"/>
      <c r="E19" s="18"/>
      <c r="F19" s="19"/>
    </row>
    <row r="20" spans="1:7" ht="25.5" customHeight="1" x14ac:dyDescent="0.25">
      <c r="A20" s="89"/>
      <c r="B20" s="90" t="s">
        <v>97</v>
      </c>
      <c r="C20" s="91">
        <f>COUNTIF(C11:C17,'Summary and sign-off'!A46)</f>
        <v>0</v>
      </c>
      <c r="D20" s="17"/>
      <c r="E20" s="18"/>
      <c r="F20" s="19"/>
    </row>
    <row r="21" spans="1:7" x14ac:dyDescent="0.2">
      <c r="A21" s="20"/>
      <c r="B21" s="21"/>
      <c r="C21" s="20"/>
      <c r="D21" s="22"/>
      <c r="E21" s="22"/>
      <c r="F21" s="20"/>
    </row>
    <row r="22" spans="1:7" x14ac:dyDescent="0.2">
      <c r="A22" s="21" t="s">
        <v>152</v>
      </c>
      <c r="B22" s="21"/>
      <c r="C22" s="21"/>
      <c r="D22" s="21"/>
      <c r="E22" s="21"/>
      <c r="F22" s="21"/>
    </row>
    <row r="23" spans="1:7" ht="12.6" customHeight="1" x14ac:dyDescent="0.2">
      <c r="A23" s="23" t="s">
        <v>131</v>
      </c>
      <c r="B23" s="20"/>
      <c r="C23" s="20"/>
      <c r="D23" s="20"/>
      <c r="E23" s="20"/>
      <c r="F23" s="24"/>
    </row>
    <row r="24" spans="1:7" x14ac:dyDescent="0.2">
      <c r="A24" s="23" t="s">
        <v>79</v>
      </c>
      <c r="B24" s="25"/>
      <c r="C24" s="26"/>
      <c r="D24" s="26"/>
      <c r="E24" s="26"/>
      <c r="F24" s="27"/>
    </row>
    <row r="25" spans="1:7" x14ac:dyDescent="0.2">
      <c r="A25" s="23" t="s">
        <v>164</v>
      </c>
      <c r="B25" s="28"/>
      <c r="C25" s="28"/>
      <c r="D25" s="28"/>
      <c r="E25" s="28"/>
      <c r="F25" s="28"/>
    </row>
    <row r="26" spans="1:7" ht="12.75" customHeight="1" x14ac:dyDescent="0.2">
      <c r="A26" s="23" t="s">
        <v>165</v>
      </c>
      <c r="B26" s="20"/>
      <c r="C26" s="20"/>
      <c r="D26" s="20"/>
      <c r="E26" s="20"/>
      <c r="F26" s="20"/>
    </row>
    <row r="27" spans="1:7" ht="12.95" customHeight="1" x14ac:dyDescent="0.2">
      <c r="A27" s="29" t="s">
        <v>166</v>
      </c>
      <c r="B27" s="30"/>
      <c r="C27" s="30"/>
      <c r="D27" s="30"/>
      <c r="E27" s="30"/>
      <c r="F27" s="30"/>
    </row>
    <row r="28" spans="1:7" x14ac:dyDescent="0.2">
      <c r="A28" s="31" t="s">
        <v>167</v>
      </c>
      <c r="B28" s="32"/>
      <c r="C28" s="27"/>
      <c r="D28" s="27"/>
      <c r="E28" s="27"/>
      <c r="F28" s="27"/>
    </row>
    <row r="29" spans="1:7" ht="12.75" customHeight="1" x14ac:dyDescent="0.2">
      <c r="A29" s="31" t="s">
        <v>146</v>
      </c>
      <c r="B29" s="23"/>
      <c r="C29" s="33"/>
      <c r="D29" s="33"/>
      <c r="E29" s="33"/>
      <c r="F29" s="33"/>
    </row>
    <row r="30" spans="1:7" ht="12.75" customHeight="1" x14ac:dyDescent="0.2">
      <c r="A30" s="23"/>
      <c r="B30" s="23"/>
      <c r="C30" s="33"/>
      <c r="D30" s="33"/>
      <c r="E30" s="33"/>
      <c r="F30" s="33"/>
    </row>
    <row r="31" spans="1:7" ht="12.75" hidden="1" customHeight="1" x14ac:dyDescent="0.2">
      <c r="A31" s="23"/>
      <c r="B31" s="23"/>
      <c r="C31" s="33"/>
      <c r="D31" s="33"/>
      <c r="E31" s="33"/>
      <c r="F31" s="33"/>
    </row>
    <row r="32" spans="1:7" x14ac:dyDescent="0.2"/>
    <row r="34" spans="1:6" hidden="1" x14ac:dyDescent="0.2">
      <c r="A34" s="21"/>
      <c r="B34" s="21"/>
      <c r="C34" s="21"/>
      <c r="D34" s="21"/>
      <c r="E34" s="21"/>
      <c r="F34" s="21"/>
    </row>
    <row r="35" spans="1:6" hidden="1" x14ac:dyDescent="0.2">
      <c r="A35" s="21"/>
      <c r="B35" s="21"/>
      <c r="C35" s="21"/>
      <c r="D35" s="21"/>
      <c r="E35" s="21"/>
      <c r="F35" s="21"/>
    </row>
    <row r="36" spans="1:6" hidden="1" x14ac:dyDescent="0.2">
      <c r="A36" s="21"/>
      <c r="B36" s="21"/>
      <c r="C36" s="21"/>
      <c r="D36" s="21"/>
      <c r="E36" s="21"/>
      <c r="F36" s="21"/>
    </row>
    <row r="37" spans="1:6" hidden="1" x14ac:dyDescent="0.2">
      <c r="A37" s="21"/>
      <c r="B37" s="21"/>
      <c r="C37" s="21"/>
      <c r="D37" s="21"/>
      <c r="E37" s="21"/>
      <c r="F37" s="21"/>
    </row>
    <row r="38" spans="1:6" hidden="1" x14ac:dyDescent="0.2">
      <c r="A38" s="21"/>
      <c r="B38" s="21"/>
      <c r="C38" s="21"/>
      <c r="D38" s="21"/>
      <c r="E38" s="21"/>
      <c r="F38" s="21"/>
    </row>
    <row r="39" spans="1:6" x14ac:dyDescent="0.2"/>
    <row r="40" spans="1:6" x14ac:dyDescent="0.2"/>
    <row r="41" spans="1:6" x14ac:dyDescent="0.2"/>
    <row r="42" spans="1:6" x14ac:dyDescent="0.2"/>
    <row r="43" spans="1:6" x14ac:dyDescent="0.2"/>
    <row r="44" spans="1:6" x14ac:dyDescent="0.2"/>
  </sheetData>
  <sheetProtection sheet="1" formatCells="0" insertRows="0" deleteRows="0"/>
  <dataConsolidate/>
  <mergeCells count="10">
    <mergeCell ref="E18:F1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C11:C17</xm:sqref>
        </x14:dataValidation>
        <x14:dataValidation type="list" errorStyle="information" operator="greaterThan" allowBlank="1" showInputMessage="1" prompt="Provide specific $ value if possible" xr:uid="{00000000-0002-0000-0500-000003000000}">
          <x14:formula1>
            <xm:f>'Summary and sign-off'!$A$39:$A$44</xm:f>
          </x14:formula1>
          <xm:sqref>E11:E17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6e615d7-aa45-47a8-8ffc-ce310c73719c">
      <Terms xmlns="http://schemas.microsoft.com/office/infopath/2007/PartnerControls"/>
    </lcf76f155ced4ddcb4097134ff3c332f>
    <TaxCatchAll xmlns="3688b541-bf54-4630-937b-6cf4ba343cdb" xsi:nil="true"/>
    <SharedWithUsers xmlns="3688b541-bf54-4630-937b-6cf4ba343cdb">
      <UserInfo>
        <DisplayName>Ken Smart</DisplayName>
        <AccountId>87</AccountId>
        <AccountType/>
      </UserInfo>
      <UserInfo>
        <DisplayName>Nehalkumar patel</DisplayName>
        <AccountId>157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E330C4751F4345A46A7BBD49D3E946" ma:contentTypeVersion="16" ma:contentTypeDescription="Create a new document." ma:contentTypeScope="" ma:versionID="1bee7171c4bb3be769e9add8c464ffce">
  <xsd:schema xmlns:xsd="http://www.w3.org/2001/XMLSchema" xmlns:xs="http://www.w3.org/2001/XMLSchema" xmlns:p="http://schemas.microsoft.com/office/2006/metadata/properties" xmlns:ns2="26e615d7-aa45-47a8-8ffc-ce310c73719c" xmlns:ns3="3688b541-bf54-4630-937b-6cf4ba343cdb" targetNamespace="http://schemas.microsoft.com/office/2006/metadata/properties" ma:root="true" ma:fieldsID="72d85d5d6ac2800f39430ed7c467e832" ns2:_="" ns3:_="">
    <xsd:import namespace="26e615d7-aa45-47a8-8ffc-ce310c73719c"/>
    <xsd:import namespace="3688b541-bf54-4630-937b-6cf4ba343c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e615d7-aa45-47a8-8ffc-ce310c7371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ef8c769-e230-43f7-9947-d63073b8ae1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688b541-bf54-4630-937b-6cf4ba343c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9d9f1bf-575d-460a-bb50-94261e57da9e}" ma:internalName="TaxCatchAll" ma:showField="CatchAllData" ma:web="3688b541-bf54-4630-937b-6cf4ba343c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26e615d7-aa45-47a8-8ffc-ce310c73719c"/>
    <ds:schemaRef ds:uri="http://purl.org/dc/terms/"/>
    <ds:schemaRef ds:uri="http://schemas.microsoft.com/office/infopath/2007/PartnerControls"/>
    <ds:schemaRef ds:uri="http://purl.org/dc/elements/1.1/"/>
    <ds:schemaRef ds:uri="http://www.w3.org/XML/1998/namespace"/>
    <ds:schemaRef ds:uri="3688b541-bf54-4630-937b-6cf4ba343cdb"/>
    <ds:schemaRef ds:uri="http://purl.org/dc/dcmitype/"/>
    <ds:schemaRef ds:uri="http://schemas.microsoft.com/office/2006/metadata/propertie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3CEF379-4586-4FC8-B828-3FA5F7B43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e615d7-aa45-47a8-8ffc-ce310c73719c"/>
    <ds:schemaRef ds:uri="3688b541-bf54-4630-937b-6cf4ba343c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Janie Ellis</cp:lastModifiedBy>
  <cp:revision/>
  <dcterms:created xsi:type="dcterms:W3CDTF">2010-10-17T20:59:02Z</dcterms:created>
  <dcterms:modified xsi:type="dcterms:W3CDTF">2022-09-16T01:33:36Z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0x010100F4E330C4751F4345A46A7BBD49D3E946</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