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dnvfile\DNJEIC0$\Desktop\"/>
    </mc:Choice>
  </mc:AlternateContent>
  <xr:revisionPtr revIDLastSave="0" documentId="8_{A32B710F-3D02-4D7B-80B9-8E889AF90459}" xr6:coauthVersionLast="47" xr6:coauthVersionMax="47"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expenses'!$A$1:$E$27</definedName>
    <definedName name="_xlnm.Print_Area" localSheetId="5">'Gifts and benefits'!$A$1:$F$28</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 l="1"/>
  <c r="B24" i="1"/>
  <c r="B26" i="1"/>
  <c r="B38" i="1"/>
  <c r="B39" i="1"/>
  <c r="B43" i="1"/>
  <c r="B42" i="1"/>
  <c r="B66" i="1"/>
  <c r="B122" i="1"/>
  <c r="B12" i="2"/>
  <c r="B75" i="1"/>
  <c r="B74" i="1"/>
  <c r="B58" i="1"/>
  <c r="B47" i="1"/>
  <c r="B45" i="1"/>
  <c r="B44" i="1"/>
  <c r="B41" i="1"/>
  <c r="B37" i="1"/>
  <c r="B90" i="1"/>
  <c r="B83" i="1"/>
  <c r="B82" i="1"/>
  <c r="B107" i="1"/>
  <c r="B134" i="1"/>
  <c r="C138" i="1"/>
  <c r="D17" i="4"/>
  <c r="C21" i="3"/>
  <c r="C15" i="2"/>
  <c r="C17" i="1"/>
  <c r="C127" i="1" l="1"/>
  <c r="B6" i="13"/>
  <c r="E60" i="13"/>
  <c r="C60" i="13"/>
  <c r="C19" i="4"/>
  <c r="C18" i="4"/>
  <c r="B60" i="13" l="1"/>
  <c r="B59" i="13"/>
  <c r="D59" i="13"/>
  <c r="B58" i="13"/>
  <c r="D58" i="13"/>
  <c r="D57" i="13"/>
  <c r="B57" i="13"/>
  <c r="D56" i="13"/>
  <c r="B56" i="13"/>
  <c r="D55" i="13"/>
  <c r="B55" i="13"/>
  <c r="B2" i="4"/>
  <c r="B3" i="4"/>
  <c r="B2" i="3"/>
  <c r="B3" i="3"/>
  <c r="B2" i="2"/>
  <c r="B3" i="2"/>
  <c r="B2" i="1"/>
  <c r="B3" i="1"/>
  <c r="F58" i="13" l="1"/>
  <c r="D15" i="2" s="1"/>
  <c r="F60" i="13"/>
  <c r="E17" i="4" s="1"/>
  <c r="F59" i="13"/>
  <c r="D21" i="3" s="1"/>
  <c r="F57" i="13"/>
  <c r="D138" i="1" s="1"/>
  <c r="F56" i="13"/>
  <c r="D127" i="1" s="1"/>
  <c r="F55" i="13"/>
  <c r="D17" i="1" s="1"/>
  <c r="C13" i="13"/>
  <c r="C12" i="13"/>
  <c r="C11" i="13"/>
  <c r="C16" i="13" l="1"/>
  <c r="C17" i="13"/>
  <c r="B5" i="4" l="1"/>
  <c r="B4" i="4"/>
  <c r="B5" i="3"/>
  <c r="B4" i="3"/>
  <c r="B5" i="2"/>
  <c r="B4" i="2"/>
  <c r="B5" i="1"/>
  <c r="B4" i="1"/>
  <c r="C15" i="13" l="1"/>
  <c r="F12" i="13" l="1"/>
  <c r="C17" i="4"/>
  <c r="F11" i="13" s="1"/>
  <c r="F13" i="13" l="1"/>
  <c r="B138" i="1"/>
  <c r="B17" i="13" s="1"/>
  <c r="B127" i="1"/>
  <c r="B16" i="13" s="1"/>
  <c r="B17" i="1"/>
  <c r="B15" i="13" s="1"/>
  <c r="B21" i="3" l="1"/>
  <c r="B13" i="13" s="1"/>
  <c r="B15" i="2"/>
  <c r="B12" i="13" s="1"/>
  <c r="B11" i="13" l="1"/>
  <c r="B1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3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<sst xmlns="http://schemas.openxmlformats.org/spreadsheetml/2006/main" count="662" uniqueCount="282">
  <si>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</si>
  <si>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</si>
  <si>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</si>
  <si>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</si>
  <si>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</si>
  <si>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</si>
  <si>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</si>
  <si>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</si>
  <si>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</si>
  <si>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</si>
  <si>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</si>
  <si>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</si>
  <si>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</si>
  <si>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</si>
  <si>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</si>
  <si>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</si>
  <si>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</si>
  <si>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</si>
  <si>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</si>
  <si>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</si>
  <si>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</si>
  <si>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</si>
  <si>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</si>
  <si>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</si>
  <si>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</si>
  <si>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</si>
  <si>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</si>
  <si>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</si>
  <si>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</si>
  <si>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</si>
  <si>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</si>
  <si>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</si>
  <si>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</si>
  <si>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</si>
  <si>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</si>
  <si>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</si>
  <si>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</si>
  <si>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</si>
  <si>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</si>
  <si>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</si>
  <si>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</si>
  <si>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</si>
  <si>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</si>
  <si>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</si>
  <si>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</si>
  <si>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</si>
  <si>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</si>
  <si>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</si>
  <si>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</si>
  <si>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</si>
  <si>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</si>
  <si>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</si>
  <si>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</si>
  <si>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</si>
  <si>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</si>
  <si>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</si>
  <si>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</si>
  <si>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</si>
  <si>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</si>
  <si>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</si>
  <si>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</si>
  <si>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</si>
  <si>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</si>
  <si>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</si>
  <si>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</si>
  <si>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</si>
  <si>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</si>
  <si>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</si>
  <si>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</si>
  <si>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</si>
  <si>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</si>
  <si>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</si>
  <si>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</si>
  <si>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</si>
  <si>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</si>
  <si>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</si>
  <si>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</si>
  <si>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</si>
  <si>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</si>
  <si>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</si>
  <si>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</si>
  <si>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</si>
  <si>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</si>
  <si>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</si>
  <si>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</si>
  <si>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</si>
  <si>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</si>
  <si>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</si>
  <si>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</si>
  <si>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</si>
  <si>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</si>
  <si>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</si>
  <si>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</si>
  <si>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</si>
  <si>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</si>
  <si>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</si>
  <si>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</si>
  <si>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</si>
  <si>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</si>
  <si>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</si>
  <si>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</si>
  <si>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</si>
  <si>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</si>
  <si>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</si>
  <si>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</si>
  <si>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</si>
  <si>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</si>
  <si>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</si>
  <si>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</si>
  <si>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</si>
  <si>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</si>
  <si>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</si>
  <si>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</si>
  <si>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</si>
  <si>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</si>
  <si>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</si>
  <si>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</si>
  <si>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</si>
  <si>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</si>
  <si>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</si>
  <si>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</si>
  <si>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</si>
  <si>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</si>
  <si>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</si>
  <si>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</si>
  <si>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</si>
  <si>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</si>
  <si>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</si>
  <si>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</si>
  <si>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</si>
  <si>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</si>
  <si>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</si>
  <si>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</si>
  <si>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</si>
  <si>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</si>
  <si>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</si>
  <si>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</si>
  <si>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</si>
  <si>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</si>
  <si>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</si>
  <si>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</si>
  <si>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</si>
  <si>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</si>
  <si>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</si>
  <si>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</si>
  <si>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</si>
  <si>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</si>
  <si>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</si>
  <si>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</si>
  <si>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</si>
  <si>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</si>
  <si>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</si>
  <si>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</si>
  <si>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</si>
  <si>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</si>
  <si>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</si>
  <si>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</si>
  <si>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</si>
  <si>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</si>
  <si>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</si>
  <si>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</si>
  <si>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</si>
  <si>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</si>
  <si>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</si>
  <si>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</si>
  <si>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</si>
  <si>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</si>
  <si>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</si>
  <si>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</si>
  <si>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Southern District Health Board</t>
  </si>
  <si>
    <t>Chris Fleming</t>
  </si>
  <si>
    <t>30 June 201</t>
  </si>
  <si>
    <t>Mileage</t>
  </si>
  <si>
    <t>Accommodation (x2 nights)</t>
  </si>
  <si>
    <t>Invercargill and Queenstown</t>
  </si>
  <si>
    <t>15-17 July 2020</t>
  </si>
  <si>
    <t>22-24 July 2020</t>
  </si>
  <si>
    <t>Cromwell</t>
  </si>
  <si>
    <t>Accommodation (x1 night)</t>
  </si>
  <si>
    <t>Invercargill</t>
  </si>
  <si>
    <t>Accommodation in Invercargill - Executive Leadership Team Meeting on the Southland Hospital site</t>
  </si>
  <si>
    <t>Travel in personal vehicle - Dunedin to Invercargill return - Southern DHB governance meetings on the Southland Hospital site</t>
  </si>
  <si>
    <t>Flights - Dunedin to Christchurch return - South Island DHBs Alliance Leadership Team and Board Meetings</t>
  </si>
  <si>
    <t>Flights</t>
  </si>
  <si>
    <t>Christchurch</t>
  </si>
  <si>
    <t>30 September-1 October 2020</t>
  </si>
  <si>
    <t>Travel in personal vehicle - Dunedin to Invercargill return - Executive Leadership Team Meeting and meetings with other staff on the Southland Hospital site</t>
  </si>
  <si>
    <t>Accommodation for travel as above</t>
  </si>
  <si>
    <t>Travel in personal vehicle - Dunedin to Cromwell return - Public Meeting in Cromwell as part of the Primary Birthing Unit Consultation</t>
  </si>
  <si>
    <t>8-9 October 2020</t>
  </si>
  <si>
    <t>Wellington</t>
  </si>
  <si>
    <t>Flights - Dunedin to Wellington return - National DHB Chief Executives' Meeting and Health and Disaiblity System Leadership Meeting</t>
  </si>
  <si>
    <t>12-14 October 2020</t>
  </si>
  <si>
    <t>Flights - Dunedin to Christchurch, Christchurch to Wellington and Wellington to Dunedin - South Island DHBs Alliance Leadership Team and Board Meetings (Christchurch); Aged Residential Care Funding Model Review Workshop, Health of Older People Steering Group Meeting and Joint Aged Residential Care Steering Group Meeting (Wellington)</t>
  </si>
  <si>
    <t>Christchurch and Wellington</t>
  </si>
  <si>
    <t>19-23 October 2020</t>
  </si>
  <si>
    <t>Travel in personal vehicle - Dunedin to Invercargill return - Executive rostered onsite at Southland Hospital for the week</t>
  </si>
  <si>
    <t>2-3 November 2020</t>
  </si>
  <si>
    <t>Travel in personal vehicle - Southern DHB Board Workshop and Governance Meetings on the Southland Hospital site</t>
  </si>
  <si>
    <t>11-12 November 2020</t>
  </si>
  <si>
    <t>26-27 November 2020</t>
  </si>
  <si>
    <t>29-30 November 2020</t>
  </si>
  <si>
    <t>Flights - Dunedin to Christchurch return - South Island DHBs Alliance Leadership Team Meeting</t>
  </si>
  <si>
    <t>1-2 December 2020</t>
  </si>
  <si>
    <t>8-10 December 2020</t>
  </si>
  <si>
    <t>Auckland</t>
  </si>
  <si>
    <t>Flights - Dunedin to Auckland return - acceptance of gift to Southern DHB from artist at the Pacific Health Symposium</t>
  </si>
  <si>
    <t>9-11 February 2021</t>
  </si>
  <si>
    <t>Flights - Dunedin to Christchurch, Christchurch to Wellington and Wellington to Dunedin - National DHBs Chief Executives' and National DHBs Chairs' and Chief Executives' Meetings</t>
  </si>
  <si>
    <t>1-3 March 2021</t>
  </si>
  <si>
    <t>Travel in personal vehicle - Dunedin to Invercargill return - Executive rostered onsite at Southland Hospital for the week, Southern DHB Governance Meetings on the Southland Hospital site, Executive Director Finance, Procurement &amp; Facilities interviews and various meetings with Southland site staff</t>
  </si>
  <si>
    <t>7-8 March 2021</t>
  </si>
  <si>
    <t>Travel in personal vehicle - Dunedin to Invercargill return - ASMS Engagement Workshop in Invercargill</t>
  </si>
  <si>
    <t>11-12 March 2021</t>
  </si>
  <si>
    <t>Flights - Dunedin to Wellington return - National DHB Chief Executives' Meeting, Executive Learning Set Meeting and meeting with the Ministry of Health</t>
  </si>
  <si>
    <t>16-17 March 2021</t>
  </si>
  <si>
    <t>Flights - Dunedin to Wellington return - Home and Community Services Working Group Meeting, Health of Older Peoples Steering Group Meeting and Joint Aged Residential Care Steering Group Meeting</t>
  </si>
  <si>
    <t>Flights - Dunedin to Christchurch return - South Island DHBs Alliance Leadership Team Meeting and South Island DHBs Alliance Data &amp; Digital Strategy Workshop</t>
  </si>
  <si>
    <t>16-19 April 2021</t>
  </si>
  <si>
    <t>Flights - Dunedin to Hamilton return - Powhiri for Executive staff member at Waikato DHB</t>
  </si>
  <si>
    <t>Hamilton</t>
  </si>
  <si>
    <t>Travel in personal vehicle - Dunedin to Invercargill and Invercargill to Queenstown - staff drop-in sessions at Southland Hospital and Lakes District Hospital</t>
  </si>
  <si>
    <t>Flights - Dunedin to Christchurch return - South Island Neurosurgery Service Workshop</t>
  </si>
  <si>
    <t>Invercargill, Gore and Queenstown</t>
  </si>
  <si>
    <t>Travel in personal vehicle - Dunedin to Invercargill, Invercargill to Gore, Gore to Queenstown and Queenstown to Dunedin - Executive rostered onsite at Southland Hospital for the week, meetings with various Southland Hospital staff, meeting with Gore Mental Health team, meeting with CEO of Gore Health, attendance at Lakes District Hospital blessing and opening of refurbished area, meeting with Lakes District Hospital staff, and meeting with the Mayor of Queenstown Lakes District Hospital</t>
  </si>
  <si>
    <t>Queenstown</t>
  </si>
  <si>
    <t>5-7 May 2021</t>
  </si>
  <si>
    <t>12-13 May 2021</t>
  </si>
  <si>
    <t>Flights - Dunedin to Wellington return - National DHBs Chief Executives' Meeting, meeting with Ministry of Health, and National DHBs Chairs' &amp; Chief Executivess Meeting</t>
  </si>
  <si>
    <t>Rental Car</t>
  </si>
  <si>
    <t>Accommodation and Meals (set price) - Strategic Leadership Programme</t>
  </si>
  <si>
    <t>13-19 June 2021</t>
  </si>
  <si>
    <t>Rental Car - Queenstown to Dunedin - returning home from above programme</t>
  </si>
  <si>
    <t>Travel in personal vehicle - Dunedin to Invercargill, Invercargill to Queenstown and Queenstown to Dunedin - Minister Woods' visit to Southland and Lakes District Hospitals</t>
  </si>
  <si>
    <t>Travel in personal vehicle - Dunedin to Invercargill - retirement function for Southland Kaumatua</t>
  </si>
  <si>
    <t>Meals for travel as above</t>
  </si>
  <si>
    <t>Meals</t>
  </si>
  <si>
    <t>Taxi fares for travel as above</t>
  </si>
  <si>
    <t>Taxi fares</t>
  </si>
  <si>
    <t>Parking</t>
  </si>
  <si>
    <t>Parking in central Dunedin while attending Hills Cluster Schools New Dunedin Hospital PBL Exhibition Opening</t>
  </si>
  <si>
    <t>Dunedin</t>
  </si>
  <si>
    <t>Parking at Invercargill Airport while in Wellington as above</t>
  </si>
  <si>
    <t>Flights - Invercargill to Wellington return - Treasury Review Workshop on the Southern DHB Draft Digital Programme and interRAI Service Design Workshop</t>
  </si>
  <si>
    <t>Meal while in Wellington as above</t>
  </si>
  <si>
    <t>Taxi fare while in Wellington as above</t>
  </si>
  <si>
    <t>Parking at Dunedin Airport while in Wellington as above</t>
  </si>
  <si>
    <t>Travel in personal vehicle - Dunedin to Invercargill return - Southern DHB Excellence Awards and Staff Service Milestones function on the Southland site</t>
  </si>
  <si>
    <t>Parking at Dunedin Airport while in Christchurch as above</t>
  </si>
  <si>
    <t>Christchyrch</t>
  </si>
  <si>
    <t>Parking at Dunedin Airport while in Auckland as above</t>
  </si>
  <si>
    <t>Membership Fees</t>
  </si>
  <si>
    <t>Chartered Accountants Australia &amp; NZ annual subscription</t>
  </si>
  <si>
    <t>Executive Learning Set annual subscription (AUD$9,950.00)</t>
  </si>
  <si>
    <t>Mobile phone plan and data plan charges</t>
  </si>
  <si>
    <t>Phone and data costs</t>
  </si>
  <si>
    <t>NZ and Australia</t>
  </si>
  <si>
    <t>NZ</t>
  </si>
  <si>
    <t>1 July 2020 to 30 June 2021</t>
  </si>
  <si>
    <t>Nil to disclose</t>
  </si>
  <si>
    <t>Parking in central Dunedin while attending the Ministry of Health Wananga Haurora (Te Tiriti and Māori Health Equity Governance and Leadership Workshop)</t>
  </si>
  <si>
    <t>29-30 April 2021</t>
  </si>
  <si>
    <t>Parking in central Dunedin while attending Dave Cull's funeral</t>
  </si>
  <si>
    <t>Taxis</t>
  </si>
  <si>
    <t>Replacement iPad case and keyboard</t>
  </si>
  <si>
    <t>Supplies</t>
  </si>
  <si>
    <t>Flowers for departing Finance, Audit &amp; Risk Committee Chair on behalf of Southern DHB</t>
  </si>
  <si>
    <t>Parking at Dunedin Airport while in Hamilton as above</t>
  </si>
  <si>
    <t>Parking in central Dunedin while attending the Mid Point Progress Colloquium for the Primary and Community Strategy</t>
  </si>
  <si>
    <t>Replacement computer mouse purchased while offsite</t>
  </si>
  <si>
    <t>Accommodation (6 nights and meals)</t>
  </si>
  <si>
    <t>Strategic Leadership Programme (13-19 June 2021)</t>
  </si>
  <si>
    <t>Training programme fees</t>
  </si>
  <si>
    <t>Breakfast meeting with Police District Commander</t>
  </si>
  <si>
    <t>30 June to 1 July 2021</t>
  </si>
  <si>
    <t>Flights - Dunedin to Auckland return - Opening of the Research and Development in Aged Residential Care and Retirement Villages Conference</t>
  </si>
  <si>
    <t>Refueling of rental car as above</t>
  </si>
  <si>
    <t>Fuel</t>
  </si>
  <si>
    <t>Travel in person vehicle - Dunedin to Balclutha return - Southern Locality Workshop</t>
  </si>
  <si>
    <t>Balclutha</t>
  </si>
  <si>
    <t>Breakfast for 2</t>
  </si>
  <si>
    <t>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</si>
</sst>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left" vertical="center"/>
      <protection locked="0"/>
    </xf>
    <xf numFmtId="167" fontId="21" fillId="11" borderId="3"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16"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4" t="s">
        <v>51</v>
      </c>
      <c r="B1" s="174"/>
      <c r="C1" s="174"/>
      <c r="D1" s="174"/>
      <c r="E1" s="174"/>
      <c r="F1" s="174"/>
      <c r="G1" s="46"/>
      <c r="H1" s="46"/>
      <c r="I1" s="46"/>
      <c r="J1" s="46"/>
      <c r="K1" s="46"/>
    </row>
    <row r="2" spans="1:11" ht="21" customHeight="1" x14ac:dyDescent="0.2">
      <c r="A2" s="4" t="s">
        <v>52</v>
      </c>
      <c r="B2" s="175" t="s">
        <v>169</v>
      </c>
      <c r="C2" s="175"/>
      <c r="D2" s="175"/>
      <c r="E2" s="175"/>
      <c r="F2" s="175"/>
      <c r="G2" s="46"/>
      <c r="H2" s="46"/>
      <c r="I2" s="46"/>
      <c r="J2" s="46"/>
      <c r="K2" s="46"/>
    </row>
    <row r="3" spans="1:11" ht="21" customHeight="1" x14ac:dyDescent="0.2">
      <c r="A3" s="4" t="s">
        <v>53</v>
      </c>
      <c r="B3" s="175" t="s">
        <v>170</v>
      </c>
      <c r="C3" s="175"/>
      <c r="D3" s="175"/>
      <c r="E3" s="175"/>
      <c r="F3" s="175"/>
      <c r="G3" s="46"/>
      <c r="H3" s="46"/>
      <c r="I3" s="46"/>
      <c r="J3" s="46"/>
      <c r="K3" s="46"/>
    </row>
    <row r="4" spans="1:11" ht="21" customHeight="1" x14ac:dyDescent="0.2">
      <c r="A4" s="4" t="s">
        <v>54</v>
      </c>
      <c r="B4" s="176">
        <v>44013</v>
      </c>
      <c r="C4" s="176"/>
      <c r="D4" s="176"/>
      <c r="E4" s="176"/>
      <c r="F4" s="176"/>
      <c r="G4" s="46"/>
      <c r="H4" s="46"/>
      <c r="I4" s="46"/>
      <c r="J4" s="46"/>
      <c r="K4" s="46"/>
    </row>
    <row r="5" spans="1:11" ht="21" customHeight="1" x14ac:dyDescent="0.2">
      <c r="A5" s="4" t="s">
        <v>55</v>
      </c>
      <c r="B5" s="176" t="s">
        <v>171</v>
      </c>
      <c r="C5" s="176"/>
      <c r="D5" s="176"/>
      <c r="E5" s="176"/>
      <c r="F5" s="176"/>
      <c r="G5" s="46"/>
      <c r="H5" s="46"/>
      <c r="I5" s="46"/>
      <c r="J5" s="46"/>
      <c r="K5" s="46"/>
    </row>
    <row r="6" spans="1:11" ht="21" customHeight="1" x14ac:dyDescent="0.2">
      <c r="A6" s="4" t="s">
        <v>56</v>
      </c>
      <c r="B6" s="173" t="str">
        <f>IF(AND(Travel!B7&lt;&gt;A30,Hospitality!B7&lt;&gt;A30,'All other expenses'!B7&lt;&gt;A30,'Gifts and benefits'!B7&lt;&gt;A30),A31,IF(AND(Travel!B7=A30,Hospitality!B7=A30,'All other expenses'!B7=A30,'Gifts and benefits'!B7=A30),A33,A32))</f>
        <v>Data and totals checked on all sheets</v>
      </c>
      <c r="C6" s="173"/>
      <c r="D6" s="173"/>
      <c r="E6" s="173"/>
      <c r="F6" s="173"/>
      <c r="G6" s="34"/>
      <c r="H6" s="46"/>
      <c r="I6" s="46"/>
      <c r="J6" s="46"/>
      <c r="K6" s="46"/>
    </row>
    <row r="7" spans="1:11" ht="21" customHeight="1" x14ac:dyDescent="0.2">
      <c r="A7" s="4" t="s">
        <v>57</v>
      </c>
      <c r="B7" s="172" t="s">
        <v>89</v>
      </c>
      <c r="C7" s="172"/>
      <c r="D7" s="172"/>
      <c r="E7" s="172"/>
      <c r="F7" s="172"/>
      <c r="G7" s="34"/>
      <c r="H7" s="46"/>
      <c r="I7" s="46"/>
      <c r="J7" s="46"/>
      <c r="K7" s="46"/>
    </row>
    <row r="8" spans="1:11" ht="21" customHeight="1" x14ac:dyDescent="0.2">
      <c r="A8" s="4" t="s">
        <v>59</v>
      </c>
      <c r="B8" s="172" t="s">
        <v>281</v>
      </c>
      <c r="C8" s="172"/>
      <c r="D8" s="172"/>
      <c r="E8" s="172"/>
      <c r="F8" s="172"/>
      <c r="G8" s="34"/>
      <c r="H8" s="46"/>
      <c r="I8" s="46"/>
      <c r="J8" s="46"/>
      <c r="K8" s="46"/>
    </row>
    <row r="9" spans="1:11" ht="66.75" customHeight="1" x14ac:dyDescent="0.2">
      <c r="A9" s="171" t="s">
        <v>60</v>
      </c>
      <c r="B9" s="171"/>
      <c r="C9" s="171"/>
      <c r="D9" s="171"/>
      <c r="E9" s="171"/>
      <c r="F9" s="171"/>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23121.500000000015</v>
      </c>
      <c r="C11" s="102" t="str">
        <f>IF(Travel!B6="",A34,Travel!B6)</f>
        <v>Figures exclude GST</v>
      </c>
      <c r="D11" s="8"/>
      <c r="E11" s="10" t="s">
        <v>66</v>
      </c>
      <c r="F11" s="56">
        <f>'Gifts and benefits'!C17</f>
        <v>0</v>
      </c>
      <c r="G11" s="47"/>
      <c r="H11" s="47"/>
      <c r="I11" s="47"/>
      <c r="J11" s="47"/>
      <c r="K11" s="47"/>
    </row>
    <row r="12" spans="1:11" ht="27.75" customHeight="1" x14ac:dyDescent="0.2">
      <c r="A12" s="10" t="s">
        <v>24</v>
      </c>
      <c r="B12" s="94">
        <f>Hospitality!B15</f>
        <v>38.78</v>
      </c>
      <c r="C12" s="102" t="str">
        <f>IF(Hospitality!B6="",A34,Hospitality!B6)</f>
        <v>Figures exclude GST</v>
      </c>
      <c r="D12" s="8"/>
      <c r="E12" s="10" t="s">
        <v>67</v>
      </c>
      <c r="F12" s="56">
        <f>'Gifts and benefits'!C18</f>
        <v>0</v>
      </c>
      <c r="G12" s="47"/>
      <c r="H12" s="47"/>
      <c r="I12" s="47"/>
      <c r="J12" s="47"/>
      <c r="K12" s="47"/>
    </row>
    <row r="13" spans="1:11" ht="27.75" customHeight="1" x14ac:dyDescent="0.2">
      <c r="A13" s="10" t="s">
        <v>68</v>
      </c>
      <c r="B13" s="94">
        <f>'All other expenses'!B21</f>
        <v>32789.360000000001</v>
      </c>
      <c r="C13" s="102" t="str">
        <f>IF('All other expenses'!B6="",A34,'All other expenses'!B6)</f>
        <v>Figures exclude GST</v>
      </c>
      <c r="D13" s="8"/>
      <c r="E13" s="10" t="s">
        <v>69</v>
      </c>
      <c r="F13" s="56">
        <f>'Gifts and benefits'!C19</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Travel!B17</f>
        <v>0</v>
      </c>
      <c r="C15" s="104" t="str">
        <f>C11</f>
        <v>Figures exclude GST</v>
      </c>
      <c r="D15" s="8"/>
      <c r="E15" s="8"/>
      <c r="F15" s="58"/>
      <c r="G15" s="46"/>
      <c r="H15" s="46"/>
      <c r="I15" s="46"/>
      <c r="J15" s="46"/>
      <c r="K15" s="46"/>
    </row>
    <row r="16" spans="1:11" ht="27.75" customHeight="1" x14ac:dyDescent="0.2">
      <c r="A16" s="11" t="s">
        <v>71</v>
      </c>
      <c r="B16" s="96">
        <f>Travel!B127</f>
        <v>23080.020000000015</v>
      </c>
      <c r="C16" s="104" t="str">
        <f>C11</f>
        <v>Figures exclude GST</v>
      </c>
      <c r="D16" s="59"/>
      <c r="E16" s="8"/>
      <c r="F16" s="60"/>
      <c r="G16" s="46"/>
      <c r="H16" s="46"/>
      <c r="I16" s="46"/>
      <c r="J16" s="46"/>
      <c r="K16" s="46"/>
    </row>
    <row r="17" spans="1:11" ht="27.75" customHeight="1" x14ac:dyDescent="0.2">
      <c r="A17" s="11" t="s">
        <v>72</v>
      </c>
      <c r="B17" s="96">
        <f>Travel!B138</f>
        <v>41.480000000000004</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COUNT(Travel!B12:B16)</f>
        <v>0</v>
      </c>
      <c r="C55" s="111"/>
      <c r="D55" s="111">
        <f>COUNTIF(Travel!D12:D16,"*")</f>
        <v>0</v>
      </c>
      <c r="E55" s="112"/>
      <c r="F55" s="112" t="b">
        <f>MIN(B55,D55)=MAX(B55,D55)</f>
        <v>1</v>
      </c>
      <c r="G55" s="46"/>
      <c r="H55" s="46"/>
      <c r="I55" s="46"/>
      <c r="J55" s="46"/>
      <c r="K55" s="46"/>
    </row>
    <row r="56" spans="1:11" hidden="1" x14ac:dyDescent="0.2">
      <c r="A56" s="121" t="s">
        <v>105</v>
      </c>
      <c r="B56" s="111">
        <f>COUNT(Travel!B21:B126)</f>
        <v>103</v>
      </c>
      <c r="C56" s="111"/>
      <c r="D56" s="111">
        <f>COUNTIF(Travel!D21:D126,"*")</f>
        <v>103</v>
      </c>
      <c r="E56" s="112"/>
      <c r="F56" s="112" t="b">
        <f>MIN(B56,D56)=MAX(B56,D56)</f>
        <v>1</v>
      </c>
    </row>
    <row r="57" spans="1:11" hidden="1" x14ac:dyDescent="0.2">
      <c r="A57" s="122"/>
      <c r="B57" s="111">
        <f>COUNT(Travel!B131:B137)</f>
        <v>4</v>
      </c>
      <c r="C57" s="111"/>
      <c r="D57" s="111">
        <f>COUNTIF(Travel!D131:D137,"*")</f>
        <v>4</v>
      </c>
      <c r="E57" s="112"/>
      <c r="F57" s="112" t="b">
        <f>MIN(B57,D57)=MAX(B57,D57)</f>
        <v>1</v>
      </c>
    </row>
    <row r="58" spans="1:11" hidden="1" x14ac:dyDescent="0.2">
      <c r="A58" s="123" t="s">
        <v>106</v>
      </c>
      <c r="B58" s="113">
        <f>COUNT(Hospitality!B11:B14)</f>
        <v>1</v>
      </c>
      <c r="C58" s="113"/>
      <c r="D58" s="113">
        <f>COUNTIF(Hospitality!D11:D14,"*")</f>
        <v>1</v>
      </c>
      <c r="E58" s="114"/>
      <c r="F58" s="114" t="b">
        <f>MIN(B58,D58)=MAX(B58,D58)</f>
        <v>1</v>
      </c>
    </row>
    <row r="59" spans="1:11" hidden="1" x14ac:dyDescent="0.2">
      <c r="A59" s="124" t="s">
        <v>107</v>
      </c>
      <c r="B59" s="112">
        <f>COUNT('All other expenses'!B11:B20)</f>
        <v>7</v>
      </c>
      <c r="C59" s="112"/>
      <c r="D59" s="112">
        <f>COUNTIF('All other expenses'!D11:D20,"*")</f>
        <v>7</v>
      </c>
      <c r="E59" s="112"/>
      <c r="F59" s="112" t="b">
        <f>MIN(B59,D59)=MAX(B59,D59)</f>
        <v>1</v>
      </c>
    </row>
    <row r="60" spans="1:11" hidden="1" x14ac:dyDescent="0.2">
      <c r="A60" s="123" t="s">
        <v>108</v>
      </c>
      <c r="B60" s="113">
        <f>COUNTIF('Gifts and benefits'!B11:B16,"*")</f>
        <v>0</v>
      </c>
      <c r="C60" s="113">
        <f>COUNTIF('Gifts and benefits'!C11:C16,"*")</f>
        <v>0</v>
      </c>
      <c r="D60" s="113"/>
      <c r="E60" s="113">
        <f>COUNTA('Gifts and benefits'!E11:E16)</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84"/>
  <sheetViews>
    <sheetView topLeftCell="A113" zoomScaleNormal="100" workbookViewId="0">
      <selection activeCell="C22" sqref="C2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4" t="s">
        <v>109</v>
      </c>
      <c r="B1" s="174"/>
      <c r="C1" s="174"/>
      <c r="D1" s="174"/>
      <c r="E1" s="174"/>
      <c r="F1" s="46"/>
    </row>
    <row r="2" spans="1:6" ht="21" customHeight="1" x14ac:dyDescent="0.2">
      <c r="A2" s="4" t="s">
        <v>52</v>
      </c>
      <c r="B2" s="177" t="str">
        <f>'Summary and sign-off'!B2:F2</f>
        <v>Southern District Health Board</v>
      </c>
      <c r="C2" s="177"/>
      <c r="D2" s="177"/>
      <c r="E2" s="177"/>
      <c r="F2" s="46"/>
    </row>
    <row r="3" spans="1:6" ht="21" customHeight="1" x14ac:dyDescent="0.2">
      <c r="A3" s="4" t="s">
        <v>110</v>
      </c>
      <c r="B3" s="177" t="str">
        <f>'Summary and sign-off'!B3:F3</f>
        <v>Chris Fleming</v>
      </c>
      <c r="C3" s="177"/>
      <c r="D3" s="177"/>
      <c r="E3" s="177"/>
      <c r="F3" s="46"/>
    </row>
    <row r="4" spans="1:6" ht="21" customHeight="1" x14ac:dyDescent="0.2">
      <c r="A4" s="4" t="s">
        <v>111</v>
      </c>
      <c r="B4" s="177">
        <f>'Summary and sign-off'!B4:F4</f>
        <v>44013</v>
      </c>
      <c r="C4" s="177"/>
      <c r="D4" s="177"/>
      <c r="E4" s="177"/>
      <c r="F4" s="46"/>
    </row>
    <row r="5" spans="1:6" ht="21" customHeight="1" x14ac:dyDescent="0.2">
      <c r="A5" s="4" t="s">
        <v>112</v>
      </c>
      <c r="B5" s="177" t="str">
        <f>'Summary and sign-off'!B5:F5</f>
        <v>30 June 201</v>
      </c>
      <c r="C5" s="177"/>
      <c r="D5" s="177"/>
      <c r="E5" s="177"/>
      <c r="F5" s="46"/>
    </row>
    <row r="6" spans="1:6" ht="21" customHeight="1" x14ac:dyDescent="0.2">
      <c r="A6" s="4" t="s">
        <v>113</v>
      </c>
      <c r="B6" s="172" t="s">
        <v>81</v>
      </c>
      <c r="C6" s="172"/>
      <c r="D6" s="172"/>
      <c r="E6" s="172"/>
      <c r="F6" s="46"/>
    </row>
    <row r="7" spans="1:6" ht="21" customHeight="1" x14ac:dyDescent="0.2">
      <c r="A7" s="4" t="s">
        <v>56</v>
      </c>
      <c r="B7" s="172" t="s">
        <v>83</v>
      </c>
      <c r="C7" s="172"/>
      <c r="D7" s="172"/>
      <c r="E7" s="172"/>
      <c r="F7" s="46"/>
    </row>
    <row r="8" spans="1:6" ht="36" customHeight="1" x14ac:dyDescent="0.2">
      <c r="A8" s="180" t="s">
        <v>114</v>
      </c>
      <c r="B8" s="181"/>
      <c r="C8" s="181"/>
      <c r="D8" s="181"/>
      <c r="E8" s="181"/>
      <c r="F8" s="22"/>
    </row>
    <row r="9" spans="1:6" ht="36" customHeight="1" x14ac:dyDescent="0.2">
      <c r="A9" s="182" t="s">
        <v>115</v>
      </c>
      <c r="B9" s="183"/>
      <c r="C9" s="183"/>
      <c r="D9" s="183"/>
      <c r="E9" s="183"/>
      <c r="F9" s="22"/>
    </row>
    <row r="10" spans="1:6" ht="24.75" customHeight="1" x14ac:dyDescent="0.2">
      <c r="A10" s="179" t="s">
        <v>116</v>
      </c>
      <c r="B10" s="184"/>
      <c r="C10" s="179"/>
      <c r="D10" s="179"/>
      <c r="E10" s="179"/>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70" t="s">
        <v>259</v>
      </c>
      <c r="B14" s="158"/>
      <c r="C14" s="159"/>
      <c r="D14" s="159"/>
      <c r="E14" s="160"/>
      <c r="F14" s="1"/>
    </row>
    <row r="15" spans="1:6" s="87" customFormat="1" x14ac:dyDescent="0.2">
      <c r="A15" s="161"/>
      <c r="B15" s="158"/>
      <c r="C15" s="159"/>
      <c r="D15" s="159"/>
      <c r="E15" s="160"/>
      <c r="F15" s="1"/>
    </row>
    <row r="16" spans="1:6" s="87" customFormat="1" hidden="1" x14ac:dyDescent="0.2">
      <c r="A16" s="143"/>
      <c r="B16" s="144"/>
      <c r="C16" s="145"/>
      <c r="D16" s="145"/>
      <c r="E16" s="146"/>
      <c r="F16" s="1"/>
    </row>
    <row r="17" spans="1:6" ht="19.5" customHeight="1" x14ac:dyDescent="0.2">
      <c r="A17" s="107" t="s">
        <v>122</v>
      </c>
      <c r="B17" s="108">
        <f>SUM(B12:B16)</f>
        <v>0</v>
      </c>
      <c r="C17" s="168" t="str">
        <f>IF(SUBTOTAL(3,B12:B16)=SUBTOTAL(103,B12:B16),'Summary and sign-off'!$A$48,'Summary and sign-off'!$A$49)</f>
        <v>Check - there are no hidden rows with data</v>
      </c>
      <c r="D17" s="178" t="str">
        <f>IF('Summary and sign-off'!F55='Summary and sign-off'!F54,'Summary and sign-off'!A51,'Summary and sign-off'!A50)</f>
        <v>Check - each entry provides sufficient information</v>
      </c>
      <c r="E17" s="178"/>
      <c r="F17" s="46"/>
    </row>
    <row r="18" spans="1:6" ht="10.5" customHeight="1" x14ac:dyDescent="0.2">
      <c r="A18" s="27"/>
      <c r="B18" s="22"/>
      <c r="C18" s="27"/>
      <c r="D18" s="27"/>
      <c r="E18" s="27"/>
      <c r="F18" s="27"/>
    </row>
    <row r="19" spans="1:6" ht="24.75" customHeight="1" x14ac:dyDescent="0.2">
      <c r="A19" s="179" t="s">
        <v>123</v>
      </c>
      <c r="B19" s="179"/>
      <c r="C19" s="179"/>
      <c r="D19" s="179"/>
      <c r="E19" s="179"/>
      <c r="F19" s="47"/>
    </row>
    <row r="20" spans="1:6" ht="27" customHeight="1" x14ac:dyDescent="0.2">
      <c r="A20" s="35" t="s">
        <v>117</v>
      </c>
      <c r="B20" s="35" t="s">
        <v>62</v>
      </c>
      <c r="C20" s="35" t="s">
        <v>124</v>
      </c>
      <c r="D20" s="35" t="s">
        <v>120</v>
      </c>
      <c r="E20" s="35" t="s">
        <v>121</v>
      </c>
      <c r="F20" s="48"/>
    </row>
    <row r="21" spans="1:6" s="87" customFormat="1" hidden="1" x14ac:dyDescent="0.2">
      <c r="A21" s="133"/>
      <c r="B21" s="134"/>
      <c r="C21" s="135"/>
      <c r="D21" s="135"/>
      <c r="E21" s="136"/>
      <c r="F21" s="1"/>
    </row>
    <row r="22" spans="1:6" s="87" customFormat="1" ht="38.25" x14ac:dyDescent="0.2">
      <c r="A22" s="169" t="s">
        <v>175</v>
      </c>
      <c r="B22" s="158">
        <v>526.69000000000005</v>
      </c>
      <c r="C22" s="159" t="s">
        <v>233</v>
      </c>
      <c r="D22" s="159" t="s">
        <v>172</v>
      </c>
      <c r="E22" s="160" t="s">
        <v>174</v>
      </c>
      <c r="F22" s="1"/>
    </row>
    <row r="23" spans="1:6" s="87" customFormat="1" ht="25.5" x14ac:dyDescent="0.2">
      <c r="A23" s="169" t="s">
        <v>175</v>
      </c>
      <c r="B23" s="158">
        <f>195.54+135</f>
        <v>330.53999999999996</v>
      </c>
      <c r="C23" s="159" t="s">
        <v>187</v>
      </c>
      <c r="D23" s="159" t="s">
        <v>173</v>
      </c>
      <c r="E23" s="160" t="s">
        <v>174</v>
      </c>
      <c r="F23" s="1"/>
    </row>
    <row r="24" spans="1:6" s="87" customFormat="1" x14ac:dyDescent="0.2">
      <c r="A24" s="169" t="s">
        <v>175</v>
      </c>
      <c r="B24" s="158">
        <f>26.52+43+24.9</f>
        <v>94.419999999999987</v>
      </c>
      <c r="C24" s="159" t="s">
        <v>235</v>
      </c>
      <c r="D24" s="159" t="s">
        <v>236</v>
      </c>
      <c r="E24" s="160" t="s">
        <v>179</v>
      </c>
      <c r="F24" s="1"/>
    </row>
    <row r="25" spans="1:6" s="87" customFormat="1" ht="25.5" x14ac:dyDescent="0.2">
      <c r="A25" s="169" t="s">
        <v>176</v>
      </c>
      <c r="B25" s="158">
        <v>349.97</v>
      </c>
      <c r="C25" s="159" t="s">
        <v>188</v>
      </c>
      <c r="D25" s="159" t="s">
        <v>172</v>
      </c>
      <c r="E25" s="160" t="s">
        <v>177</v>
      </c>
      <c r="F25" s="1"/>
    </row>
    <row r="26" spans="1:6" s="87" customFormat="1" x14ac:dyDescent="0.2">
      <c r="A26" s="169" t="s">
        <v>176</v>
      </c>
      <c r="B26" s="158">
        <f>533.34-129</f>
        <v>404.34000000000003</v>
      </c>
      <c r="C26" s="159" t="s">
        <v>187</v>
      </c>
      <c r="D26" s="159" t="s">
        <v>173</v>
      </c>
      <c r="E26" s="160" t="s">
        <v>177</v>
      </c>
      <c r="F26" s="1"/>
    </row>
    <row r="27" spans="1:6" s="87" customFormat="1" x14ac:dyDescent="0.2">
      <c r="A27" s="169" t="s">
        <v>176</v>
      </c>
      <c r="B27" s="158">
        <v>129</v>
      </c>
      <c r="C27" s="159" t="s">
        <v>235</v>
      </c>
      <c r="D27" s="159" t="s">
        <v>236</v>
      </c>
      <c r="E27" s="160" t="s">
        <v>177</v>
      </c>
      <c r="F27" s="1"/>
    </row>
    <row r="28" spans="1:6" s="87" customFormat="1" ht="25.5" x14ac:dyDescent="0.2">
      <c r="A28" s="169">
        <v>44041</v>
      </c>
      <c r="B28" s="158">
        <v>171.29</v>
      </c>
      <c r="C28" s="159" t="s">
        <v>180</v>
      </c>
      <c r="D28" s="159" t="s">
        <v>178</v>
      </c>
      <c r="E28" s="160" t="s">
        <v>179</v>
      </c>
      <c r="F28" s="1"/>
    </row>
    <row r="29" spans="1:6" s="87" customFormat="1" x14ac:dyDescent="0.2">
      <c r="A29" s="169">
        <v>44041</v>
      </c>
      <c r="B29" s="158">
        <v>39.130000000000003</v>
      </c>
      <c r="C29" s="159" t="s">
        <v>235</v>
      </c>
      <c r="D29" s="159" t="s">
        <v>236</v>
      </c>
      <c r="E29" s="160" t="s">
        <v>179</v>
      </c>
      <c r="F29" s="1"/>
    </row>
    <row r="30" spans="1:6" s="87" customFormat="1" ht="25.5" x14ac:dyDescent="0.2">
      <c r="A30" s="169">
        <v>44046</v>
      </c>
      <c r="B30" s="158">
        <v>329.75</v>
      </c>
      <c r="C30" s="159" t="s">
        <v>181</v>
      </c>
      <c r="D30" s="159" t="s">
        <v>172</v>
      </c>
      <c r="E30" s="160" t="s">
        <v>179</v>
      </c>
      <c r="F30" s="1"/>
    </row>
    <row r="31" spans="1:6" s="87" customFormat="1" x14ac:dyDescent="0.2">
      <c r="A31" s="169">
        <v>44411</v>
      </c>
      <c r="B31" s="158">
        <v>236.51</v>
      </c>
      <c r="C31" s="159" t="s">
        <v>187</v>
      </c>
      <c r="D31" s="159" t="s">
        <v>178</v>
      </c>
      <c r="E31" s="160" t="s">
        <v>179</v>
      </c>
      <c r="F31" s="1"/>
    </row>
    <row r="32" spans="1:6" s="87" customFormat="1" x14ac:dyDescent="0.2">
      <c r="A32" s="169">
        <v>44046</v>
      </c>
      <c r="B32" s="158">
        <v>25.65</v>
      </c>
      <c r="C32" s="159" t="s">
        <v>235</v>
      </c>
      <c r="D32" s="159" t="s">
        <v>236</v>
      </c>
      <c r="E32" s="160" t="s">
        <v>179</v>
      </c>
      <c r="F32" s="1"/>
    </row>
    <row r="33" spans="1:6" s="87" customFormat="1" ht="25.5" x14ac:dyDescent="0.2">
      <c r="A33" s="169">
        <v>44418</v>
      </c>
      <c r="B33" s="158">
        <v>392.83</v>
      </c>
      <c r="C33" s="159" t="s">
        <v>182</v>
      </c>
      <c r="D33" s="159" t="s">
        <v>183</v>
      </c>
      <c r="E33" s="160" t="s">
        <v>184</v>
      </c>
      <c r="F33" s="1"/>
    </row>
    <row r="34" spans="1:6" s="87" customFormat="1" x14ac:dyDescent="0.2">
      <c r="A34" s="169">
        <v>44053</v>
      </c>
      <c r="B34" s="158">
        <v>45.48</v>
      </c>
      <c r="C34" s="159" t="s">
        <v>237</v>
      </c>
      <c r="D34" s="159" t="s">
        <v>238</v>
      </c>
      <c r="E34" s="160" t="s">
        <v>184</v>
      </c>
      <c r="F34" s="1"/>
    </row>
    <row r="35" spans="1:6" s="87" customFormat="1" ht="25.5" x14ac:dyDescent="0.2">
      <c r="A35" s="169" t="s">
        <v>185</v>
      </c>
      <c r="B35" s="158">
        <v>329.75</v>
      </c>
      <c r="C35" s="159" t="s">
        <v>186</v>
      </c>
      <c r="D35" s="159" t="s">
        <v>172</v>
      </c>
      <c r="E35" s="160" t="s">
        <v>179</v>
      </c>
      <c r="F35" s="1"/>
    </row>
    <row r="36" spans="1:6" s="87" customFormat="1" x14ac:dyDescent="0.2">
      <c r="A36" s="169" t="s">
        <v>185</v>
      </c>
      <c r="B36" s="158">
        <v>225.29</v>
      </c>
      <c r="C36" s="159" t="s">
        <v>187</v>
      </c>
      <c r="D36" s="159" t="s">
        <v>178</v>
      </c>
      <c r="E36" s="160" t="s">
        <v>179</v>
      </c>
      <c r="F36" s="1"/>
    </row>
    <row r="37" spans="1:6" s="87" customFormat="1" x14ac:dyDescent="0.2">
      <c r="A37" s="169" t="s">
        <v>185</v>
      </c>
      <c r="B37" s="158">
        <f>37.83+21.74</f>
        <v>59.569999999999993</v>
      </c>
      <c r="C37" s="159" t="s">
        <v>235</v>
      </c>
      <c r="D37" s="159" t="s">
        <v>236</v>
      </c>
      <c r="E37" s="160" t="s">
        <v>179</v>
      </c>
      <c r="F37" s="1"/>
    </row>
    <row r="38" spans="1:6" s="87" customFormat="1" ht="25.5" x14ac:dyDescent="0.2">
      <c r="A38" s="169" t="s">
        <v>189</v>
      </c>
      <c r="B38" s="158">
        <f>12.48+444.06</f>
        <v>456.54</v>
      </c>
      <c r="C38" s="159" t="s">
        <v>191</v>
      </c>
      <c r="D38" s="159" t="s">
        <v>183</v>
      </c>
      <c r="E38" s="160" t="s">
        <v>190</v>
      </c>
      <c r="F38" s="1"/>
    </row>
    <row r="39" spans="1:6" s="87" customFormat="1" x14ac:dyDescent="0.2">
      <c r="A39" s="169" t="s">
        <v>189</v>
      </c>
      <c r="B39" s="158">
        <f>146+6.33+0.58</f>
        <v>152.91000000000003</v>
      </c>
      <c r="C39" s="159" t="s">
        <v>187</v>
      </c>
      <c r="D39" s="159" t="s">
        <v>178</v>
      </c>
      <c r="E39" s="160" t="s">
        <v>190</v>
      </c>
      <c r="F39" s="1"/>
    </row>
    <row r="40" spans="1:6" s="87" customFormat="1" x14ac:dyDescent="0.2">
      <c r="A40" s="169" t="s">
        <v>189</v>
      </c>
      <c r="B40" s="158">
        <v>39.130000000000003</v>
      </c>
      <c r="C40" s="159" t="s">
        <v>235</v>
      </c>
      <c r="D40" s="159" t="s">
        <v>236</v>
      </c>
      <c r="E40" s="160" t="s">
        <v>190</v>
      </c>
      <c r="F40" s="1"/>
    </row>
    <row r="41" spans="1:6" s="87" customFormat="1" x14ac:dyDescent="0.2">
      <c r="A41" s="169" t="s">
        <v>189</v>
      </c>
      <c r="B41" s="158">
        <f>31.83+28.43</f>
        <v>60.26</v>
      </c>
      <c r="C41" s="159" t="s">
        <v>237</v>
      </c>
      <c r="D41" s="159" t="s">
        <v>238</v>
      </c>
      <c r="E41" s="160" t="s">
        <v>190</v>
      </c>
      <c r="F41" s="1"/>
    </row>
    <row r="42" spans="1:6" s="87" customFormat="1" ht="63.75" x14ac:dyDescent="0.2">
      <c r="A42" s="169" t="s">
        <v>192</v>
      </c>
      <c r="B42" s="158">
        <f>12.48+825.32</f>
        <v>837.80000000000007</v>
      </c>
      <c r="C42" s="159" t="s">
        <v>193</v>
      </c>
      <c r="D42" s="159" t="s">
        <v>183</v>
      </c>
      <c r="E42" s="160" t="s">
        <v>194</v>
      </c>
      <c r="F42" s="1"/>
    </row>
    <row r="43" spans="1:6" s="87" customFormat="1" x14ac:dyDescent="0.2">
      <c r="A43" s="169" t="s">
        <v>192</v>
      </c>
      <c r="B43" s="158">
        <f>358+6.33+0.58</f>
        <v>364.90999999999997</v>
      </c>
      <c r="C43" s="159" t="s">
        <v>187</v>
      </c>
      <c r="D43" s="159" t="s">
        <v>173</v>
      </c>
      <c r="E43" s="160" t="s">
        <v>190</v>
      </c>
      <c r="F43" s="1"/>
    </row>
    <row r="44" spans="1:6" s="87" customFormat="1" ht="25.5" x14ac:dyDescent="0.2">
      <c r="A44" s="169" t="s">
        <v>192</v>
      </c>
      <c r="B44" s="158">
        <f>12.7+20.21+26.52+34.78</f>
        <v>94.21</v>
      </c>
      <c r="C44" s="159" t="s">
        <v>235</v>
      </c>
      <c r="D44" s="159" t="s">
        <v>236</v>
      </c>
      <c r="E44" s="160" t="s">
        <v>194</v>
      </c>
      <c r="F44" s="1"/>
    </row>
    <row r="45" spans="1:6" s="87" customFormat="1" ht="25.5" x14ac:dyDescent="0.2">
      <c r="A45" s="169" t="s">
        <v>192</v>
      </c>
      <c r="B45" s="158">
        <f>30.26+35.04+34.7</f>
        <v>100</v>
      </c>
      <c r="C45" s="159" t="s">
        <v>237</v>
      </c>
      <c r="D45" s="159" t="s">
        <v>238</v>
      </c>
      <c r="E45" s="160" t="s">
        <v>194</v>
      </c>
      <c r="F45" s="1"/>
    </row>
    <row r="46" spans="1:6" s="87" customFormat="1" ht="25.5" x14ac:dyDescent="0.2">
      <c r="A46" s="169" t="s">
        <v>195</v>
      </c>
      <c r="B46" s="158">
        <v>329.75</v>
      </c>
      <c r="C46" s="159" t="s">
        <v>196</v>
      </c>
      <c r="D46" s="159" t="s">
        <v>172</v>
      </c>
      <c r="E46" s="160" t="s">
        <v>179</v>
      </c>
      <c r="F46" s="1"/>
    </row>
    <row r="47" spans="1:6" s="87" customFormat="1" x14ac:dyDescent="0.2">
      <c r="A47" s="169" t="s">
        <v>195</v>
      </c>
      <c r="B47" s="158">
        <f>44.24+29.13+27.74+32.55</f>
        <v>133.66</v>
      </c>
      <c r="C47" s="159" t="s">
        <v>235</v>
      </c>
      <c r="D47" s="159" t="s">
        <v>236</v>
      </c>
      <c r="E47" s="160" t="s">
        <v>179</v>
      </c>
      <c r="F47" s="1"/>
    </row>
    <row r="48" spans="1:6" s="87" customFormat="1" ht="25.5" x14ac:dyDescent="0.2">
      <c r="A48" s="169">
        <v>44125</v>
      </c>
      <c r="B48" s="158">
        <v>624.95000000000005</v>
      </c>
      <c r="C48" s="159" t="s">
        <v>243</v>
      </c>
      <c r="D48" s="159" t="s">
        <v>183</v>
      </c>
      <c r="E48" s="160" t="s">
        <v>190</v>
      </c>
      <c r="F48" s="1"/>
    </row>
    <row r="49" spans="1:6" s="87" customFormat="1" x14ac:dyDescent="0.2">
      <c r="A49" s="169">
        <v>44125</v>
      </c>
      <c r="B49" s="158">
        <v>13.91</v>
      </c>
      <c r="C49" s="159" t="s">
        <v>242</v>
      </c>
      <c r="D49" s="159" t="s">
        <v>239</v>
      </c>
      <c r="E49" s="160" t="s">
        <v>179</v>
      </c>
      <c r="F49" s="1"/>
    </row>
    <row r="50" spans="1:6" s="87" customFormat="1" x14ac:dyDescent="0.2">
      <c r="A50" s="169">
        <v>44490</v>
      </c>
      <c r="B50" s="158">
        <v>40.26</v>
      </c>
      <c r="C50" s="159" t="s">
        <v>245</v>
      </c>
      <c r="D50" s="159" t="s">
        <v>238</v>
      </c>
      <c r="E50" s="160" t="s">
        <v>190</v>
      </c>
      <c r="F50" s="1"/>
    </row>
    <row r="51" spans="1:6" s="87" customFormat="1" x14ac:dyDescent="0.2">
      <c r="A51" s="169">
        <v>44125</v>
      </c>
      <c r="B51" s="158">
        <v>11.04</v>
      </c>
      <c r="C51" s="159" t="s">
        <v>244</v>
      </c>
      <c r="D51" s="159" t="s">
        <v>236</v>
      </c>
      <c r="E51" s="160" t="s">
        <v>190</v>
      </c>
      <c r="F51" s="1"/>
    </row>
    <row r="52" spans="1:6" s="87" customFormat="1" ht="25.5" x14ac:dyDescent="0.2">
      <c r="A52" s="169" t="s">
        <v>197</v>
      </c>
      <c r="B52" s="158">
        <v>329.75</v>
      </c>
      <c r="C52" s="159" t="s">
        <v>198</v>
      </c>
      <c r="D52" s="159" t="s">
        <v>172</v>
      </c>
      <c r="E52" s="160" t="s">
        <v>179</v>
      </c>
      <c r="F52" s="1"/>
    </row>
    <row r="53" spans="1:6" s="87" customFormat="1" x14ac:dyDescent="0.2">
      <c r="A53" s="169" t="s">
        <v>197</v>
      </c>
      <c r="B53" s="158">
        <v>156.29</v>
      </c>
      <c r="C53" s="159" t="s">
        <v>187</v>
      </c>
      <c r="D53" s="159" t="s">
        <v>178</v>
      </c>
      <c r="E53" s="160" t="s">
        <v>179</v>
      </c>
      <c r="F53" s="1"/>
    </row>
    <row r="54" spans="1:6" s="87" customFormat="1" x14ac:dyDescent="0.2">
      <c r="A54" s="169" t="s">
        <v>197</v>
      </c>
      <c r="B54" s="158">
        <v>37.83</v>
      </c>
      <c r="C54" s="159" t="s">
        <v>235</v>
      </c>
      <c r="D54" s="159" t="s">
        <v>236</v>
      </c>
      <c r="E54" s="160" t="s">
        <v>179</v>
      </c>
      <c r="F54" s="1"/>
    </row>
    <row r="55" spans="1:6" s="87" customFormat="1" ht="25.5" x14ac:dyDescent="0.2">
      <c r="A55" s="169" t="s">
        <v>199</v>
      </c>
      <c r="B55" s="158">
        <v>411</v>
      </c>
      <c r="C55" s="159" t="s">
        <v>191</v>
      </c>
      <c r="D55" s="159" t="s">
        <v>183</v>
      </c>
      <c r="E55" s="160" t="s">
        <v>190</v>
      </c>
      <c r="F55" s="1"/>
    </row>
    <row r="56" spans="1:6" s="87" customFormat="1" x14ac:dyDescent="0.2">
      <c r="A56" s="169" t="s">
        <v>199</v>
      </c>
      <c r="B56" s="158">
        <v>155</v>
      </c>
      <c r="C56" s="159" t="s">
        <v>187</v>
      </c>
      <c r="D56" s="159" t="s">
        <v>178</v>
      </c>
      <c r="E56" s="160" t="s">
        <v>190</v>
      </c>
      <c r="F56" s="1"/>
    </row>
    <row r="57" spans="1:6" s="87" customFormat="1" x14ac:dyDescent="0.2">
      <c r="A57" s="169" t="s">
        <v>199</v>
      </c>
      <c r="B57" s="158">
        <v>42.61</v>
      </c>
      <c r="C57" s="159" t="s">
        <v>235</v>
      </c>
      <c r="D57" s="159" t="s">
        <v>236</v>
      </c>
      <c r="E57" s="160" t="s">
        <v>190</v>
      </c>
      <c r="F57" s="1"/>
    </row>
    <row r="58" spans="1:6" s="87" customFormat="1" x14ac:dyDescent="0.2">
      <c r="A58" s="169" t="s">
        <v>199</v>
      </c>
      <c r="B58" s="158">
        <f>36.17+18.09+28.96</f>
        <v>83.22</v>
      </c>
      <c r="C58" s="159" t="s">
        <v>237</v>
      </c>
      <c r="D58" s="159" t="s">
        <v>238</v>
      </c>
      <c r="E58" s="160" t="s">
        <v>190</v>
      </c>
      <c r="F58" s="1"/>
    </row>
    <row r="59" spans="1:6" s="87" customFormat="1" x14ac:dyDescent="0.2">
      <c r="A59" s="169" t="s">
        <v>199</v>
      </c>
      <c r="B59" s="158">
        <v>24.35</v>
      </c>
      <c r="C59" s="159" t="s">
        <v>246</v>
      </c>
      <c r="D59" s="159" t="s">
        <v>239</v>
      </c>
      <c r="E59" s="160" t="s">
        <v>241</v>
      </c>
      <c r="F59" s="1"/>
    </row>
    <row r="60" spans="1:6" s="87" customFormat="1" ht="25.5" x14ac:dyDescent="0.2">
      <c r="A60" s="169">
        <v>44155</v>
      </c>
      <c r="B60" s="158">
        <v>165.11</v>
      </c>
      <c r="C60" s="159" t="s">
        <v>234</v>
      </c>
      <c r="D60" s="159" t="s">
        <v>172</v>
      </c>
      <c r="E60" s="160" t="s">
        <v>179</v>
      </c>
      <c r="F60" s="1"/>
    </row>
    <row r="61" spans="1:6" s="87" customFormat="1" ht="25.5" x14ac:dyDescent="0.2">
      <c r="A61" s="169" t="s">
        <v>200</v>
      </c>
      <c r="B61" s="158">
        <v>329.75</v>
      </c>
      <c r="C61" s="159" t="s">
        <v>247</v>
      </c>
      <c r="D61" s="159" t="s">
        <v>172</v>
      </c>
      <c r="E61" s="160" t="s">
        <v>179</v>
      </c>
      <c r="F61" s="1"/>
    </row>
    <row r="62" spans="1:6" s="87" customFormat="1" x14ac:dyDescent="0.2">
      <c r="A62" s="169" t="s">
        <v>200</v>
      </c>
      <c r="B62" s="158">
        <v>186.29</v>
      </c>
      <c r="C62" s="159" t="s">
        <v>187</v>
      </c>
      <c r="D62" s="159" t="s">
        <v>178</v>
      </c>
      <c r="E62" s="160" t="s">
        <v>179</v>
      </c>
      <c r="F62" s="1"/>
    </row>
    <row r="63" spans="1:6" s="87" customFormat="1" x14ac:dyDescent="0.2">
      <c r="A63" s="169" t="s">
        <v>200</v>
      </c>
      <c r="B63" s="158">
        <v>16.52</v>
      </c>
      <c r="C63" s="159" t="s">
        <v>235</v>
      </c>
      <c r="D63" s="159" t="s">
        <v>236</v>
      </c>
      <c r="E63" s="160" t="s">
        <v>179</v>
      </c>
      <c r="F63" s="1"/>
    </row>
    <row r="64" spans="1:6" s="87" customFormat="1" ht="25.5" x14ac:dyDescent="0.2">
      <c r="A64" s="169" t="s">
        <v>201</v>
      </c>
      <c r="B64" s="158">
        <v>398.54</v>
      </c>
      <c r="C64" s="159" t="s">
        <v>202</v>
      </c>
      <c r="D64" s="159" t="s">
        <v>183</v>
      </c>
      <c r="E64" s="160" t="s">
        <v>184</v>
      </c>
      <c r="F64" s="1"/>
    </row>
    <row r="65" spans="1:6" s="87" customFormat="1" x14ac:dyDescent="0.2">
      <c r="A65" s="169" t="s">
        <v>201</v>
      </c>
      <c r="B65" s="158">
        <v>166</v>
      </c>
      <c r="C65" s="159" t="s">
        <v>187</v>
      </c>
      <c r="D65" s="159" t="s">
        <v>178</v>
      </c>
      <c r="E65" s="160" t="s">
        <v>184</v>
      </c>
      <c r="F65" s="1"/>
    </row>
    <row r="66" spans="1:6" s="87" customFormat="1" x14ac:dyDescent="0.2">
      <c r="A66" s="169" t="s">
        <v>201</v>
      </c>
      <c r="B66" s="158">
        <f>37.5+64</f>
        <v>101.5</v>
      </c>
      <c r="C66" s="159" t="s">
        <v>235</v>
      </c>
      <c r="D66" s="159" t="s">
        <v>236</v>
      </c>
      <c r="E66" s="160" t="s">
        <v>184</v>
      </c>
      <c r="F66" s="1"/>
    </row>
    <row r="67" spans="1:6" s="87" customFormat="1" x14ac:dyDescent="0.2">
      <c r="A67" s="169" t="s">
        <v>201</v>
      </c>
      <c r="B67" s="158">
        <v>14.26</v>
      </c>
      <c r="C67" s="159" t="s">
        <v>237</v>
      </c>
      <c r="D67" s="159" t="s">
        <v>238</v>
      </c>
      <c r="E67" s="160" t="s">
        <v>249</v>
      </c>
      <c r="F67" s="1"/>
    </row>
    <row r="68" spans="1:6" s="87" customFormat="1" x14ac:dyDescent="0.2">
      <c r="A68" s="169" t="s">
        <v>201</v>
      </c>
      <c r="B68" s="158">
        <v>19.13</v>
      </c>
      <c r="C68" s="159" t="s">
        <v>248</v>
      </c>
      <c r="D68" s="159" t="s">
        <v>239</v>
      </c>
      <c r="E68" s="160" t="s">
        <v>241</v>
      </c>
      <c r="F68" s="1"/>
    </row>
    <row r="69" spans="1:6" s="87" customFormat="1" ht="25.5" x14ac:dyDescent="0.2">
      <c r="A69" s="169" t="s">
        <v>203</v>
      </c>
      <c r="B69" s="158">
        <v>329.75</v>
      </c>
      <c r="C69" s="159" t="s">
        <v>186</v>
      </c>
      <c r="D69" s="159" t="s">
        <v>172</v>
      </c>
      <c r="E69" s="160" t="s">
        <v>179</v>
      </c>
      <c r="F69" s="1"/>
    </row>
    <row r="70" spans="1:6" s="87" customFormat="1" x14ac:dyDescent="0.2">
      <c r="A70" s="169" t="s">
        <v>203</v>
      </c>
      <c r="B70" s="158">
        <v>143</v>
      </c>
      <c r="C70" s="159" t="s">
        <v>187</v>
      </c>
      <c r="D70" s="159" t="s">
        <v>178</v>
      </c>
      <c r="E70" s="160" t="s">
        <v>179</v>
      </c>
      <c r="F70" s="1"/>
    </row>
    <row r="71" spans="1:6" s="87" customFormat="1" x14ac:dyDescent="0.2">
      <c r="A71" s="169" t="s">
        <v>203</v>
      </c>
      <c r="B71" s="158">
        <v>27.74</v>
      </c>
      <c r="C71" s="159" t="s">
        <v>235</v>
      </c>
      <c r="D71" s="159" t="s">
        <v>236</v>
      </c>
      <c r="E71" s="160" t="s">
        <v>179</v>
      </c>
      <c r="F71" s="1"/>
    </row>
    <row r="72" spans="1:6" s="87" customFormat="1" ht="25.5" x14ac:dyDescent="0.2">
      <c r="A72" s="169" t="s">
        <v>204</v>
      </c>
      <c r="B72" s="158">
        <v>687.93</v>
      </c>
      <c r="C72" s="159" t="s">
        <v>206</v>
      </c>
      <c r="D72" s="159" t="s">
        <v>183</v>
      </c>
      <c r="E72" s="160" t="s">
        <v>205</v>
      </c>
      <c r="F72" s="1"/>
    </row>
    <row r="73" spans="1:6" s="87" customFormat="1" x14ac:dyDescent="0.2">
      <c r="A73" s="169" t="s">
        <v>204</v>
      </c>
      <c r="B73" s="158">
        <v>429.28</v>
      </c>
      <c r="C73" s="159" t="s">
        <v>187</v>
      </c>
      <c r="D73" s="159" t="s">
        <v>173</v>
      </c>
      <c r="E73" s="160" t="s">
        <v>205</v>
      </c>
      <c r="F73" s="1"/>
    </row>
    <row r="74" spans="1:6" s="87" customFormat="1" x14ac:dyDescent="0.2">
      <c r="A74" s="169" t="s">
        <v>204</v>
      </c>
      <c r="B74" s="158">
        <f>19.03+33.48</f>
        <v>52.51</v>
      </c>
      <c r="C74" s="159" t="s">
        <v>235</v>
      </c>
      <c r="D74" s="159" t="s">
        <v>236</v>
      </c>
      <c r="E74" s="160" t="s">
        <v>205</v>
      </c>
      <c r="F74" s="1"/>
    </row>
    <row r="75" spans="1:6" s="87" customFormat="1" x14ac:dyDescent="0.2">
      <c r="A75" s="169" t="s">
        <v>204</v>
      </c>
      <c r="B75" s="158">
        <f>44.26+34.7</f>
        <v>78.960000000000008</v>
      </c>
      <c r="C75" s="159" t="s">
        <v>237</v>
      </c>
      <c r="D75" s="159" t="s">
        <v>238</v>
      </c>
      <c r="E75" s="160" t="s">
        <v>205</v>
      </c>
      <c r="F75" s="1"/>
    </row>
    <row r="76" spans="1:6" s="87" customFormat="1" x14ac:dyDescent="0.2">
      <c r="A76" s="169" t="s">
        <v>204</v>
      </c>
      <c r="B76" s="158">
        <v>29.57</v>
      </c>
      <c r="C76" s="159" t="s">
        <v>250</v>
      </c>
      <c r="D76" s="159" t="s">
        <v>239</v>
      </c>
      <c r="E76" s="160" t="s">
        <v>241</v>
      </c>
      <c r="F76" s="1"/>
    </row>
    <row r="77" spans="1:6" s="87" customFormat="1" ht="25.5" x14ac:dyDescent="0.2">
      <c r="A77" s="169">
        <v>44179</v>
      </c>
      <c r="B77" s="158">
        <v>649.71</v>
      </c>
      <c r="C77" s="159" t="s">
        <v>182</v>
      </c>
      <c r="D77" s="159" t="s">
        <v>183</v>
      </c>
      <c r="E77" s="160" t="s">
        <v>184</v>
      </c>
      <c r="F77" s="1"/>
    </row>
    <row r="78" spans="1:6" s="87" customFormat="1" x14ac:dyDescent="0.2">
      <c r="A78" s="169">
        <v>44544</v>
      </c>
      <c r="B78" s="158">
        <v>51.13</v>
      </c>
      <c r="C78" s="159" t="s">
        <v>237</v>
      </c>
      <c r="D78" s="159" t="s">
        <v>238</v>
      </c>
      <c r="E78" s="160" t="s">
        <v>184</v>
      </c>
      <c r="F78" s="1"/>
    </row>
    <row r="79" spans="1:6" s="87" customFormat="1" x14ac:dyDescent="0.2">
      <c r="A79" s="169">
        <v>44179</v>
      </c>
      <c r="B79" s="158">
        <v>19.13</v>
      </c>
      <c r="C79" s="159" t="s">
        <v>248</v>
      </c>
      <c r="D79" s="159" t="s">
        <v>239</v>
      </c>
      <c r="E79" s="160" t="s">
        <v>241</v>
      </c>
      <c r="F79" s="1"/>
    </row>
    <row r="80" spans="1:6" s="87" customFormat="1" ht="38.25" x14ac:dyDescent="0.2">
      <c r="A80" s="169" t="s">
        <v>207</v>
      </c>
      <c r="B80" s="158">
        <v>704.69</v>
      </c>
      <c r="C80" s="159" t="s">
        <v>208</v>
      </c>
      <c r="D80" s="159" t="s">
        <v>183</v>
      </c>
      <c r="E80" s="160" t="s">
        <v>194</v>
      </c>
      <c r="F80" s="1"/>
    </row>
    <row r="81" spans="1:6" s="87" customFormat="1" x14ac:dyDescent="0.2">
      <c r="A81" s="169" t="s">
        <v>207</v>
      </c>
      <c r="B81" s="158">
        <v>320.56</v>
      </c>
      <c r="C81" s="159" t="s">
        <v>187</v>
      </c>
      <c r="D81" s="159" t="s">
        <v>173</v>
      </c>
      <c r="E81" s="160" t="s">
        <v>190</v>
      </c>
      <c r="F81" s="1"/>
    </row>
    <row r="82" spans="1:6" s="87" customFormat="1" ht="25.5" x14ac:dyDescent="0.2">
      <c r="A82" s="169" t="s">
        <v>207</v>
      </c>
      <c r="B82" s="158">
        <f>17.39+26.78</f>
        <v>44.17</v>
      </c>
      <c r="C82" s="159" t="s">
        <v>235</v>
      </c>
      <c r="D82" s="159" t="s">
        <v>236</v>
      </c>
      <c r="E82" s="160" t="s">
        <v>194</v>
      </c>
      <c r="F82" s="1"/>
    </row>
    <row r="83" spans="1:6" s="87" customFormat="1" ht="25.5" x14ac:dyDescent="0.2">
      <c r="A83" s="169" t="s">
        <v>207</v>
      </c>
      <c r="B83" s="158">
        <f>53.04+59.83+30.87+36.26</f>
        <v>180</v>
      </c>
      <c r="C83" s="159" t="s">
        <v>237</v>
      </c>
      <c r="D83" s="159" t="s">
        <v>238</v>
      </c>
      <c r="E83" s="160" t="s">
        <v>194</v>
      </c>
      <c r="F83" s="1"/>
    </row>
    <row r="84" spans="1:6" s="87" customFormat="1" x14ac:dyDescent="0.2">
      <c r="A84" s="169" t="s">
        <v>207</v>
      </c>
      <c r="B84" s="158">
        <v>34.78</v>
      </c>
      <c r="C84" s="159" t="s">
        <v>246</v>
      </c>
      <c r="D84" s="159" t="s">
        <v>239</v>
      </c>
      <c r="E84" s="160" t="s">
        <v>241</v>
      </c>
      <c r="F84" s="1"/>
    </row>
    <row r="85" spans="1:6" s="87" customFormat="1" ht="51" x14ac:dyDescent="0.2">
      <c r="A85" s="169" t="s">
        <v>209</v>
      </c>
      <c r="B85" s="158">
        <v>342.27</v>
      </c>
      <c r="C85" s="159" t="s">
        <v>210</v>
      </c>
      <c r="D85" s="159" t="s">
        <v>172</v>
      </c>
      <c r="E85" s="160" t="s">
        <v>179</v>
      </c>
      <c r="F85" s="1"/>
    </row>
    <row r="86" spans="1:6" s="87" customFormat="1" x14ac:dyDescent="0.2">
      <c r="A86" s="169" t="s">
        <v>209</v>
      </c>
      <c r="B86" s="158">
        <v>29.39</v>
      </c>
      <c r="C86" s="159" t="s">
        <v>235</v>
      </c>
      <c r="D86" s="159" t="s">
        <v>236</v>
      </c>
      <c r="E86" s="160" t="s">
        <v>179</v>
      </c>
      <c r="F86" s="1"/>
    </row>
    <row r="87" spans="1:6" s="87" customFormat="1" ht="25.5" x14ac:dyDescent="0.2">
      <c r="A87" s="169" t="s">
        <v>211</v>
      </c>
      <c r="B87" s="158">
        <v>342.27</v>
      </c>
      <c r="C87" s="159" t="s">
        <v>212</v>
      </c>
      <c r="D87" s="159" t="s">
        <v>172</v>
      </c>
      <c r="E87" s="160" t="s">
        <v>179</v>
      </c>
      <c r="F87" s="1"/>
    </row>
    <row r="88" spans="1:6" s="87" customFormat="1" ht="25.5" x14ac:dyDescent="0.2">
      <c r="A88" s="169" t="s">
        <v>213</v>
      </c>
      <c r="B88" s="158">
        <v>510.84</v>
      </c>
      <c r="C88" s="159" t="s">
        <v>214</v>
      </c>
      <c r="D88" s="159" t="s">
        <v>183</v>
      </c>
      <c r="E88" s="160" t="s">
        <v>190</v>
      </c>
      <c r="F88" s="1"/>
    </row>
    <row r="89" spans="1:6" s="87" customFormat="1" x14ac:dyDescent="0.2">
      <c r="A89" s="169" t="s">
        <v>213</v>
      </c>
      <c r="B89" s="158">
        <v>204</v>
      </c>
      <c r="C89" s="159" t="s">
        <v>187</v>
      </c>
      <c r="D89" s="159" t="s">
        <v>178</v>
      </c>
      <c r="E89" s="160" t="s">
        <v>190</v>
      </c>
      <c r="F89" s="1"/>
    </row>
    <row r="90" spans="1:6" s="87" customFormat="1" x14ac:dyDescent="0.2">
      <c r="A90" s="169" t="s">
        <v>213</v>
      </c>
      <c r="B90" s="158">
        <f>37.65+34.61</f>
        <v>72.259999999999991</v>
      </c>
      <c r="C90" s="159" t="s">
        <v>237</v>
      </c>
      <c r="D90" s="159" t="s">
        <v>238</v>
      </c>
      <c r="E90" s="160" t="s">
        <v>190</v>
      </c>
      <c r="F90" s="1"/>
    </row>
    <row r="91" spans="1:6" s="87" customFormat="1" x14ac:dyDescent="0.2">
      <c r="A91" s="169" t="s">
        <v>213</v>
      </c>
      <c r="B91" s="158">
        <v>24.35</v>
      </c>
      <c r="C91" s="159" t="s">
        <v>246</v>
      </c>
      <c r="D91" s="159" t="s">
        <v>239</v>
      </c>
      <c r="E91" s="160" t="s">
        <v>241</v>
      </c>
      <c r="F91" s="1"/>
    </row>
    <row r="92" spans="1:6" s="87" customFormat="1" ht="38.25" x14ac:dyDescent="0.2">
      <c r="A92" s="169" t="s">
        <v>215</v>
      </c>
      <c r="B92" s="158">
        <v>322.43</v>
      </c>
      <c r="C92" s="159" t="s">
        <v>216</v>
      </c>
      <c r="D92" s="159" t="s">
        <v>183</v>
      </c>
      <c r="E92" s="160" t="s">
        <v>190</v>
      </c>
      <c r="F92" s="1"/>
    </row>
    <row r="93" spans="1:6" s="87" customFormat="1" x14ac:dyDescent="0.2">
      <c r="A93" s="169" t="s">
        <v>215</v>
      </c>
      <c r="B93" s="158">
        <v>161.1</v>
      </c>
      <c r="C93" s="159" t="s">
        <v>187</v>
      </c>
      <c r="D93" s="159" t="s">
        <v>178</v>
      </c>
      <c r="E93" s="160" t="s">
        <v>190</v>
      </c>
      <c r="F93" s="1"/>
    </row>
    <row r="94" spans="1:6" s="87" customFormat="1" x14ac:dyDescent="0.2">
      <c r="A94" s="169" t="s">
        <v>215</v>
      </c>
      <c r="B94" s="158">
        <v>33.74</v>
      </c>
      <c r="C94" s="159" t="s">
        <v>235</v>
      </c>
      <c r="D94" s="159" t="s">
        <v>236</v>
      </c>
      <c r="E94" s="160" t="s">
        <v>190</v>
      </c>
      <c r="F94" s="1"/>
    </row>
    <row r="95" spans="1:6" s="87" customFormat="1" x14ac:dyDescent="0.2">
      <c r="A95" s="169" t="s">
        <v>215</v>
      </c>
      <c r="B95" s="158">
        <v>31.91</v>
      </c>
      <c r="C95" s="159" t="s">
        <v>237</v>
      </c>
      <c r="D95" s="159" t="s">
        <v>238</v>
      </c>
      <c r="E95" s="160" t="s">
        <v>190</v>
      </c>
      <c r="F95" s="1"/>
    </row>
    <row r="96" spans="1:6" s="87" customFormat="1" x14ac:dyDescent="0.2">
      <c r="A96" s="169" t="s">
        <v>215</v>
      </c>
      <c r="B96" s="158">
        <v>27.48</v>
      </c>
      <c r="C96" s="159" t="s">
        <v>246</v>
      </c>
      <c r="D96" s="159" t="s">
        <v>239</v>
      </c>
      <c r="E96" s="160" t="s">
        <v>241</v>
      </c>
      <c r="F96" s="1"/>
    </row>
    <row r="97" spans="1:6" s="87" customFormat="1" ht="25.5" x14ac:dyDescent="0.2">
      <c r="A97" s="169">
        <v>44298</v>
      </c>
      <c r="B97" s="158">
        <v>607.6</v>
      </c>
      <c r="C97" s="159" t="s">
        <v>217</v>
      </c>
      <c r="D97" s="159" t="s">
        <v>183</v>
      </c>
      <c r="E97" s="160" t="s">
        <v>184</v>
      </c>
      <c r="F97" s="1"/>
    </row>
    <row r="98" spans="1:6" s="87" customFormat="1" x14ac:dyDescent="0.2">
      <c r="A98" s="169">
        <v>44298</v>
      </c>
      <c r="B98" s="158">
        <v>21.83</v>
      </c>
      <c r="C98" s="159" t="s">
        <v>248</v>
      </c>
      <c r="D98" s="159" t="s">
        <v>239</v>
      </c>
      <c r="E98" s="160" t="s">
        <v>241</v>
      </c>
      <c r="F98" s="1"/>
    </row>
    <row r="99" spans="1:6" s="87" customFormat="1" ht="25.5" x14ac:dyDescent="0.2">
      <c r="A99" s="169" t="s">
        <v>218</v>
      </c>
      <c r="B99" s="158">
        <v>597.38</v>
      </c>
      <c r="C99" s="159" t="s">
        <v>219</v>
      </c>
      <c r="D99" s="159" t="s">
        <v>183</v>
      </c>
      <c r="E99" s="160" t="s">
        <v>220</v>
      </c>
      <c r="F99" s="1"/>
    </row>
    <row r="100" spans="1:6" s="87" customFormat="1" x14ac:dyDescent="0.2">
      <c r="A100" s="169" t="s">
        <v>218</v>
      </c>
      <c r="B100" s="158">
        <v>44</v>
      </c>
      <c r="C100" s="159" t="s">
        <v>237</v>
      </c>
      <c r="D100" s="159" t="s">
        <v>238</v>
      </c>
      <c r="E100" s="160" t="s">
        <v>220</v>
      </c>
      <c r="F100" s="1"/>
    </row>
    <row r="101" spans="1:6" s="87" customFormat="1" x14ac:dyDescent="0.2">
      <c r="A101" s="169" t="s">
        <v>218</v>
      </c>
      <c r="B101" s="158">
        <v>50.09</v>
      </c>
      <c r="C101" s="159" t="s">
        <v>267</v>
      </c>
      <c r="D101" s="159" t="s">
        <v>239</v>
      </c>
      <c r="E101" s="160" t="s">
        <v>241</v>
      </c>
      <c r="F101" s="1"/>
    </row>
    <row r="102" spans="1:6" s="87" customFormat="1" ht="25.5" x14ac:dyDescent="0.2">
      <c r="A102" s="169">
        <v>44309</v>
      </c>
      <c r="B102" s="158">
        <v>321.44</v>
      </c>
      <c r="C102" s="159" t="s">
        <v>221</v>
      </c>
      <c r="D102" s="159" t="s">
        <v>172</v>
      </c>
      <c r="E102" s="160" t="s">
        <v>174</v>
      </c>
      <c r="F102" s="1"/>
    </row>
    <row r="103" spans="1:6" s="87" customFormat="1" ht="25.5" x14ac:dyDescent="0.2">
      <c r="A103" s="169">
        <v>44313</v>
      </c>
      <c r="B103" s="158">
        <v>307.01</v>
      </c>
      <c r="C103" s="159" t="s">
        <v>222</v>
      </c>
      <c r="D103" s="159" t="s">
        <v>183</v>
      </c>
      <c r="E103" s="160" t="s">
        <v>184</v>
      </c>
      <c r="F103" s="1"/>
    </row>
    <row r="104" spans="1:6" s="87" customFormat="1" x14ac:dyDescent="0.2">
      <c r="A104" s="169">
        <v>44313</v>
      </c>
      <c r="B104" s="158">
        <v>21.83</v>
      </c>
      <c r="C104" s="159" t="s">
        <v>248</v>
      </c>
      <c r="D104" s="159" t="s">
        <v>239</v>
      </c>
      <c r="E104" s="160" t="s">
        <v>241</v>
      </c>
      <c r="F104" s="1"/>
    </row>
    <row r="105" spans="1:6" s="87" customFormat="1" ht="89.25" x14ac:dyDescent="0.2">
      <c r="A105" s="158" t="s">
        <v>226</v>
      </c>
      <c r="B105" s="158">
        <v>581.79</v>
      </c>
      <c r="C105" s="159" t="s">
        <v>224</v>
      </c>
      <c r="D105" s="159" t="s">
        <v>172</v>
      </c>
      <c r="E105" s="160" t="s">
        <v>223</v>
      </c>
      <c r="F105" s="1"/>
    </row>
    <row r="106" spans="1:6" s="87" customFormat="1" x14ac:dyDescent="0.2">
      <c r="A106" s="169" t="s">
        <v>226</v>
      </c>
      <c r="B106" s="158">
        <v>150</v>
      </c>
      <c r="C106" s="159" t="s">
        <v>187</v>
      </c>
      <c r="D106" s="159" t="s">
        <v>178</v>
      </c>
      <c r="E106" s="160" t="s">
        <v>225</v>
      </c>
      <c r="F106" s="1"/>
    </row>
    <row r="107" spans="1:6" s="87" customFormat="1" x14ac:dyDescent="0.2">
      <c r="A107" s="169" t="s">
        <v>226</v>
      </c>
      <c r="B107" s="158">
        <f>29.39+31.59</f>
        <v>60.980000000000004</v>
      </c>
      <c r="C107" s="159" t="s">
        <v>235</v>
      </c>
      <c r="D107" s="159" t="s">
        <v>236</v>
      </c>
      <c r="E107" s="160" t="s">
        <v>179</v>
      </c>
      <c r="F107" s="1"/>
    </row>
    <row r="108" spans="1:6" s="87" customFormat="1" ht="25.5" x14ac:dyDescent="0.2">
      <c r="A108" s="169">
        <v>44326</v>
      </c>
      <c r="B108" s="158">
        <v>262.08999999999997</v>
      </c>
      <c r="C108" s="159" t="s">
        <v>182</v>
      </c>
      <c r="D108" s="159" t="s">
        <v>183</v>
      </c>
      <c r="E108" s="160" t="s">
        <v>184</v>
      </c>
      <c r="F108" s="1"/>
    </row>
    <row r="109" spans="1:6" s="87" customFormat="1" x14ac:dyDescent="0.2">
      <c r="A109" s="169">
        <v>44326</v>
      </c>
      <c r="B109" s="158">
        <v>21.83</v>
      </c>
      <c r="C109" s="159" t="s">
        <v>248</v>
      </c>
      <c r="D109" s="159" t="s">
        <v>239</v>
      </c>
      <c r="E109" s="160" t="s">
        <v>241</v>
      </c>
      <c r="F109" s="1"/>
    </row>
    <row r="110" spans="1:6" s="87" customFormat="1" ht="38.25" x14ac:dyDescent="0.2">
      <c r="A110" s="169" t="s">
        <v>227</v>
      </c>
      <c r="B110" s="158">
        <v>370.54</v>
      </c>
      <c r="C110" s="159" t="s">
        <v>228</v>
      </c>
      <c r="D110" s="159" t="s">
        <v>183</v>
      </c>
      <c r="E110" s="160" t="s">
        <v>190</v>
      </c>
      <c r="F110" s="1"/>
    </row>
    <row r="111" spans="1:6" s="87" customFormat="1" x14ac:dyDescent="0.2">
      <c r="A111" s="169" t="s">
        <v>227</v>
      </c>
      <c r="B111" s="158">
        <v>170</v>
      </c>
      <c r="C111" s="159" t="s">
        <v>187</v>
      </c>
      <c r="D111" s="159" t="s">
        <v>178</v>
      </c>
      <c r="E111" s="160" t="s">
        <v>190</v>
      </c>
      <c r="F111" s="1"/>
    </row>
    <row r="112" spans="1:6" s="87" customFormat="1" x14ac:dyDescent="0.2">
      <c r="A112" s="169" t="s">
        <v>227</v>
      </c>
      <c r="B112" s="158">
        <v>39.130000000000003</v>
      </c>
      <c r="C112" s="159" t="s">
        <v>235</v>
      </c>
      <c r="D112" s="159" t="s">
        <v>236</v>
      </c>
      <c r="E112" s="160" t="s">
        <v>190</v>
      </c>
      <c r="F112" s="1"/>
    </row>
    <row r="113" spans="1:6" s="87" customFormat="1" x14ac:dyDescent="0.2">
      <c r="A113" s="169" t="s">
        <v>227</v>
      </c>
      <c r="B113" s="158">
        <v>29.57</v>
      </c>
      <c r="C113" s="159" t="s">
        <v>237</v>
      </c>
      <c r="D113" s="159" t="s">
        <v>263</v>
      </c>
      <c r="E113" s="160" t="s">
        <v>190</v>
      </c>
      <c r="F113" s="1"/>
    </row>
    <row r="114" spans="1:6" s="87" customFormat="1" x14ac:dyDescent="0.2">
      <c r="A114" s="169" t="s">
        <v>227</v>
      </c>
      <c r="B114" s="158">
        <v>27.48</v>
      </c>
      <c r="C114" s="159" t="s">
        <v>246</v>
      </c>
      <c r="D114" s="159" t="s">
        <v>239</v>
      </c>
      <c r="E114" s="160" t="s">
        <v>241</v>
      </c>
      <c r="F114" s="1"/>
    </row>
    <row r="115" spans="1:6" s="87" customFormat="1" x14ac:dyDescent="0.2">
      <c r="A115" s="169">
        <v>44351</v>
      </c>
      <c r="B115" s="158">
        <v>124.04</v>
      </c>
      <c r="C115" s="159" t="s">
        <v>278</v>
      </c>
      <c r="D115" s="159" t="s">
        <v>172</v>
      </c>
      <c r="E115" s="160" t="s">
        <v>279</v>
      </c>
      <c r="F115" s="1"/>
    </row>
    <row r="116" spans="1:6" s="87" customFormat="1" x14ac:dyDescent="0.2">
      <c r="A116" s="169" t="s">
        <v>231</v>
      </c>
      <c r="B116" s="158">
        <v>2420.42</v>
      </c>
      <c r="C116" s="159" t="s">
        <v>230</v>
      </c>
      <c r="D116" s="159" t="s">
        <v>270</v>
      </c>
      <c r="E116" s="160" t="s">
        <v>225</v>
      </c>
      <c r="F116" s="1"/>
    </row>
    <row r="117" spans="1:6" s="87" customFormat="1" x14ac:dyDescent="0.2">
      <c r="A117" s="169" t="s">
        <v>231</v>
      </c>
      <c r="B117" s="158">
        <v>73.040000000000006</v>
      </c>
      <c r="C117" s="159" t="s">
        <v>237</v>
      </c>
      <c r="D117" s="159" t="s">
        <v>238</v>
      </c>
      <c r="E117" s="160" t="s">
        <v>225</v>
      </c>
      <c r="F117" s="1"/>
    </row>
    <row r="118" spans="1:6" s="87" customFormat="1" x14ac:dyDescent="0.2">
      <c r="A118" s="169" t="s">
        <v>231</v>
      </c>
      <c r="B118" s="158">
        <v>141.66</v>
      </c>
      <c r="C118" s="159" t="s">
        <v>232</v>
      </c>
      <c r="D118" s="159" t="s">
        <v>229</v>
      </c>
      <c r="E118" s="160" t="s">
        <v>225</v>
      </c>
      <c r="F118" s="1"/>
    </row>
    <row r="119" spans="1:6" s="87" customFormat="1" x14ac:dyDescent="0.2">
      <c r="A119" s="169" t="s">
        <v>231</v>
      </c>
      <c r="B119" s="158">
        <v>41.32</v>
      </c>
      <c r="C119" s="159" t="s">
        <v>276</v>
      </c>
      <c r="D119" s="159" t="s">
        <v>277</v>
      </c>
      <c r="E119" s="160" t="s">
        <v>241</v>
      </c>
      <c r="F119" s="1"/>
    </row>
    <row r="120" spans="1:6" s="87" customFormat="1" ht="25.5" x14ac:dyDescent="0.2">
      <c r="A120" s="169" t="s">
        <v>274</v>
      </c>
      <c r="B120" s="158">
        <v>778.56</v>
      </c>
      <c r="C120" s="159" t="s">
        <v>275</v>
      </c>
      <c r="D120" s="159" t="s">
        <v>183</v>
      </c>
      <c r="E120" s="160" t="s">
        <v>205</v>
      </c>
      <c r="F120" s="1"/>
    </row>
    <row r="121" spans="1:6" s="87" customFormat="1" x14ac:dyDescent="0.2">
      <c r="A121" s="169" t="s">
        <v>274</v>
      </c>
      <c r="B121" s="158">
        <v>180.99</v>
      </c>
      <c r="C121" s="159" t="s">
        <v>187</v>
      </c>
      <c r="D121" s="159" t="s">
        <v>178</v>
      </c>
      <c r="E121" s="160" t="s">
        <v>205</v>
      </c>
      <c r="F121" s="1"/>
    </row>
    <row r="122" spans="1:6" s="87" customFormat="1" x14ac:dyDescent="0.2">
      <c r="A122" s="169" t="s">
        <v>274</v>
      </c>
      <c r="B122" s="158">
        <f>33.74+18</f>
        <v>51.74</v>
      </c>
      <c r="C122" s="159" t="s">
        <v>235</v>
      </c>
      <c r="D122" s="159" t="s">
        <v>236</v>
      </c>
      <c r="E122" s="160" t="s">
        <v>205</v>
      </c>
      <c r="F122" s="1"/>
    </row>
    <row r="123" spans="1:6" s="87" customFormat="1" x14ac:dyDescent="0.2">
      <c r="A123" s="169" t="s">
        <v>274</v>
      </c>
      <c r="B123" s="158">
        <v>84.54</v>
      </c>
      <c r="C123" s="159" t="s">
        <v>237</v>
      </c>
      <c r="D123" s="159" t="s">
        <v>238</v>
      </c>
      <c r="E123" s="160" t="s">
        <v>205</v>
      </c>
      <c r="F123" s="1"/>
    </row>
    <row r="124" spans="1:6" s="87" customFormat="1" x14ac:dyDescent="0.2">
      <c r="A124" s="169" t="s">
        <v>274</v>
      </c>
      <c r="B124" s="158">
        <v>27.48</v>
      </c>
      <c r="C124" s="159" t="s">
        <v>250</v>
      </c>
      <c r="D124" s="159" t="s">
        <v>239</v>
      </c>
      <c r="E124" s="160" t="s">
        <v>241</v>
      </c>
      <c r="F124" s="1"/>
    </row>
    <row r="125" spans="1:6" s="87" customFormat="1" x14ac:dyDescent="0.2">
      <c r="A125" s="169"/>
      <c r="B125" s="158"/>
      <c r="C125" s="159"/>
      <c r="D125" s="159"/>
      <c r="E125" s="160"/>
      <c r="F125" s="1"/>
    </row>
    <row r="126" spans="1:6" s="87" customFormat="1" hidden="1" x14ac:dyDescent="0.2">
      <c r="A126" s="147"/>
      <c r="B126" s="148"/>
      <c r="C126" s="149"/>
      <c r="D126" s="149"/>
      <c r="E126" s="150"/>
      <c r="F126" s="1"/>
    </row>
    <row r="127" spans="1:6" ht="19.5" customHeight="1" x14ac:dyDescent="0.2">
      <c r="A127" s="107" t="s">
        <v>125</v>
      </c>
      <c r="B127" s="108">
        <f>SUM(B21:B126)</f>
        <v>23080.020000000015</v>
      </c>
      <c r="C127" s="168" t="str">
        <f>IF(SUBTOTAL(3,B21:B126)=SUBTOTAL(103,B21:B126),'Summary and sign-off'!$A$48,'Summary and sign-off'!$A$49)</f>
        <v>Check - there are no hidden rows with data</v>
      </c>
      <c r="D127" s="178" t="str">
        <f>IF('Summary and sign-off'!F56='Summary and sign-off'!F54,'Summary and sign-off'!A51,'Summary and sign-off'!A50)</f>
        <v>Check - each entry provides sufficient information</v>
      </c>
      <c r="E127" s="178"/>
      <c r="F127" s="46"/>
    </row>
    <row r="128" spans="1:6" ht="10.5" customHeight="1" x14ac:dyDescent="0.2">
      <c r="A128" s="27"/>
      <c r="B128" s="22"/>
      <c r="C128" s="27"/>
      <c r="D128" s="27"/>
      <c r="E128" s="27"/>
      <c r="F128" s="27"/>
    </row>
    <row r="129" spans="1:6" ht="24.75" customHeight="1" x14ac:dyDescent="0.2">
      <c r="A129" s="179" t="s">
        <v>126</v>
      </c>
      <c r="B129" s="179"/>
      <c r="C129" s="179"/>
      <c r="D129" s="179"/>
      <c r="E129" s="179"/>
      <c r="F129" s="46"/>
    </row>
    <row r="130" spans="1:6" ht="27" customHeight="1" x14ac:dyDescent="0.2">
      <c r="A130" s="35" t="s">
        <v>117</v>
      </c>
      <c r="B130" s="35" t="s">
        <v>62</v>
      </c>
      <c r="C130" s="35" t="s">
        <v>127</v>
      </c>
      <c r="D130" s="35" t="s">
        <v>128</v>
      </c>
      <c r="E130" s="35" t="s">
        <v>121</v>
      </c>
      <c r="F130" s="49"/>
    </row>
    <row r="131" spans="1:6" s="87" customFormat="1" hidden="1" x14ac:dyDescent="0.2">
      <c r="A131" s="133"/>
      <c r="B131" s="134"/>
      <c r="C131" s="135"/>
      <c r="D131" s="135"/>
      <c r="E131" s="136"/>
      <c r="F131" s="1"/>
    </row>
    <row r="132" spans="1:6" s="87" customFormat="1" ht="25.5" x14ac:dyDescent="0.2">
      <c r="A132" s="169">
        <v>44123</v>
      </c>
      <c r="B132" s="158">
        <v>4.87</v>
      </c>
      <c r="C132" s="159" t="s">
        <v>240</v>
      </c>
      <c r="D132" s="159" t="s">
        <v>239</v>
      </c>
      <c r="E132" s="160" t="s">
        <v>241</v>
      </c>
      <c r="F132" s="1"/>
    </row>
    <row r="133" spans="1:6" s="87" customFormat="1" ht="25.5" x14ac:dyDescent="0.2">
      <c r="A133" s="169">
        <v>44302</v>
      </c>
      <c r="B133" s="158">
        <v>7.48</v>
      </c>
      <c r="C133" s="159" t="s">
        <v>268</v>
      </c>
      <c r="D133" s="159" t="s">
        <v>239</v>
      </c>
      <c r="E133" s="160" t="s">
        <v>241</v>
      </c>
      <c r="F133" s="1"/>
    </row>
    <row r="134" spans="1:6" s="87" customFormat="1" ht="25.5" x14ac:dyDescent="0.2">
      <c r="A134" s="169" t="s">
        <v>261</v>
      </c>
      <c r="B134" s="158">
        <f>10+11.74</f>
        <v>21.740000000000002</v>
      </c>
      <c r="C134" s="159" t="s">
        <v>260</v>
      </c>
      <c r="D134" s="159" t="s">
        <v>239</v>
      </c>
      <c r="E134" s="160" t="s">
        <v>241</v>
      </c>
      <c r="F134" s="1"/>
    </row>
    <row r="135" spans="1:6" s="87" customFormat="1" x14ac:dyDescent="0.2">
      <c r="A135" s="169">
        <v>44319</v>
      </c>
      <c r="B135" s="158">
        <v>7.39</v>
      </c>
      <c r="C135" s="159" t="s">
        <v>262</v>
      </c>
      <c r="D135" s="159" t="s">
        <v>239</v>
      </c>
      <c r="E135" s="160" t="s">
        <v>241</v>
      </c>
      <c r="F135" s="1"/>
    </row>
    <row r="136" spans="1:6" s="87" customFormat="1" x14ac:dyDescent="0.2">
      <c r="A136" s="157"/>
      <c r="B136" s="158"/>
      <c r="C136" s="159"/>
      <c r="D136" s="159"/>
      <c r="E136" s="160"/>
      <c r="F136" s="1"/>
    </row>
    <row r="137" spans="1:6" s="87" customFormat="1" hidden="1" x14ac:dyDescent="0.2">
      <c r="A137" s="133"/>
      <c r="B137" s="134"/>
      <c r="C137" s="135"/>
      <c r="D137" s="135"/>
      <c r="E137" s="136"/>
      <c r="F137" s="1"/>
    </row>
    <row r="138" spans="1:6" ht="19.5" customHeight="1" x14ac:dyDescent="0.2">
      <c r="A138" s="107" t="s">
        <v>129</v>
      </c>
      <c r="B138" s="108">
        <f>SUM(B131:B137)</f>
        <v>41.480000000000004</v>
      </c>
      <c r="C138" s="168" t="str">
        <f>IF(SUBTOTAL(3,B131:B137)=SUBTOTAL(103,B131:B137),'Summary and sign-off'!$A$48,'Summary and sign-off'!$A$49)</f>
        <v>Check - there are no hidden rows with data</v>
      </c>
      <c r="D138" s="178" t="str">
        <f>IF('Summary and sign-off'!F57='Summary and sign-off'!F54,'Summary and sign-off'!A51,'Summary and sign-off'!A50)</f>
        <v>Check - each entry provides sufficient information</v>
      </c>
      <c r="E138" s="178"/>
      <c r="F138" s="46"/>
    </row>
    <row r="139" spans="1:6" ht="10.5" customHeight="1" x14ac:dyDescent="0.2">
      <c r="A139" s="27"/>
      <c r="B139" s="92"/>
      <c r="C139" s="22"/>
      <c r="D139" s="27"/>
      <c r="E139" s="27"/>
      <c r="F139" s="27"/>
    </row>
    <row r="140" spans="1:6" ht="34.5" customHeight="1" x14ac:dyDescent="0.2">
      <c r="A140" s="50" t="s">
        <v>130</v>
      </c>
      <c r="B140" s="93">
        <f>B17+B127+B138</f>
        <v>23121.500000000015</v>
      </c>
      <c r="C140" s="51"/>
      <c r="D140" s="51"/>
      <c r="E140" s="51"/>
      <c r="F140" s="26"/>
    </row>
    <row r="141" spans="1:6" x14ac:dyDescent="0.2">
      <c r="A141" s="27"/>
      <c r="B141" s="22"/>
      <c r="C141" s="27"/>
      <c r="D141" s="27"/>
      <c r="E141" s="27"/>
      <c r="F141" s="27"/>
    </row>
    <row r="142" spans="1:6" x14ac:dyDescent="0.2">
      <c r="A142" s="52" t="s">
        <v>73</v>
      </c>
      <c r="B142" s="25"/>
      <c r="C142" s="26"/>
      <c r="D142" s="26"/>
      <c r="E142" s="26"/>
      <c r="F142" s="27"/>
    </row>
    <row r="143" spans="1:6" ht="12.6" customHeight="1" x14ac:dyDescent="0.2">
      <c r="A143" s="23" t="s">
        <v>131</v>
      </c>
      <c r="B143" s="53"/>
      <c r="C143" s="53"/>
      <c r="D143" s="32"/>
      <c r="E143" s="32"/>
      <c r="F143" s="27"/>
    </row>
    <row r="144" spans="1:6" ht="12.95" customHeight="1" x14ac:dyDescent="0.2">
      <c r="A144" s="31" t="s">
        <v>132</v>
      </c>
      <c r="B144" s="27"/>
      <c r="C144" s="32"/>
      <c r="D144" s="27"/>
      <c r="E144" s="32"/>
      <c r="F144" s="27"/>
    </row>
    <row r="145" spans="1:6" x14ac:dyDescent="0.2">
      <c r="A145" s="31" t="s">
        <v>133</v>
      </c>
      <c r="B145" s="32"/>
      <c r="C145" s="32"/>
      <c r="D145" s="32"/>
      <c r="E145" s="54"/>
      <c r="F145" s="46"/>
    </row>
    <row r="146" spans="1:6" x14ac:dyDescent="0.2">
      <c r="A146" s="23" t="s">
        <v>79</v>
      </c>
      <c r="B146" s="25"/>
      <c r="C146" s="26"/>
      <c r="D146" s="26"/>
      <c r="E146" s="26"/>
      <c r="F146" s="27"/>
    </row>
    <row r="147" spans="1:6" ht="12.95" customHeight="1" x14ac:dyDescent="0.2">
      <c r="A147" s="31" t="s">
        <v>134</v>
      </c>
      <c r="B147" s="27"/>
      <c r="C147" s="32"/>
      <c r="D147" s="27"/>
      <c r="E147" s="32"/>
      <c r="F147" s="27"/>
    </row>
    <row r="148" spans="1:6" x14ac:dyDescent="0.2">
      <c r="A148" s="31" t="s">
        <v>135</v>
      </c>
      <c r="B148" s="32"/>
      <c r="C148" s="32"/>
      <c r="D148" s="32"/>
      <c r="E148" s="54"/>
      <c r="F148" s="46"/>
    </row>
    <row r="149" spans="1:6" x14ac:dyDescent="0.2">
      <c r="A149" s="36" t="s">
        <v>136</v>
      </c>
      <c r="B149" s="36"/>
      <c r="C149" s="36"/>
      <c r="D149" s="36"/>
      <c r="E149" s="54"/>
      <c r="F149" s="46"/>
    </row>
    <row r="150" spans="1:6" x14ac:dyDescent="0.2">
      <c r="A150" s="40"/>
      <c r="B150" s="27"/>
      <c r="C150" s="27"/>
      <c r="D150" s="27"/>
      <c r="E150" s="46"/>
      <c r="F150" s="46"/>
    </row>
    <row r="151" spans="1:6" hidden="1" x14ac:dyDescent="0.2">
      <c r="A151" s="40"/>
      <c r="B151" s="27"/>
      <c r="C151" s="27"/>
      <c r="D151" s="27"/>
      <c r="E151" s="46"/>
      <c r="F151" s="46"/>
    </row>
    <row r="152" spans="1:6" x14ac:dyDescent="0.2"/>
    <row r="153" spans="1:6" x14ac:dyDescent="0.2"/>
    <row r="154" spans="1:6" x14ac:dyDescent="0.2"/>
    <row r="155" spans="1:6" x14ac:dyDescent="0.2"/>
    <row r="156" spans="1:6" ht="12.75" hidden="1" customHeight="1" x14ac:dyDescent="0.2"/>
    <row r="157" spans="1:6" x14ac:dyDescent="0.2"/>
    <row r="158" spans="1:6" x14ac:dyDescent="0.2"/>
    <row r="159" spans="1:6" hidden="1" x14ac:dyDescent="0.2">
      <c r="A159" s="55"/>
      <c r="B159" s="46"/>
      <c r="C159" s="46"/>
      <c r="D159" s="46"/>
      <c r="E159" s="46"/>
      <c r="F159" s="46"/>
    </row>
    <row r="160" spans="1:6" hidden="1" x14ac:dyDescent="0.2">
      <c r="A160" s="55"/>
      <c r="B160" s="46"/>
      <c r="C160" s="46"/>
      <c r="D160" s="46"/>
      <c r="E160" s="46"/>
      <c r="F160" s="46"/>
    </row>
    <row r="161" spans="1:6" hidden="1" x14ac:dyDescent="0.2">
      <c r="A161" s="55"/>
      <c r="B161" s="46"/>
      <c r="C161" s="46"/>
      <c r="D161" s="46"/>
      <c r="E161" s="46"/>
      <c r="F161" s="46"/>
    </row>
    <row r="162" spans="1:6" hidden="1" x14ac:dyDescent="0.2">
      <c r="A162" s="55"/>
      <c r="B162" s="46"/>
      <c r="C162" s="46"/>
      <c r="D162" s="46"/>
      <c r="E162" s="46"/>
      <c r="F162" s="46"/>
    </row>
    <row r="163" spans="1:6" hidden="1" x14ac:dyDescent="0.2">
      <c r="A163" s="55"/>
      <c r="B163" s="46"/>
      <c r="C163" s="46"/>
      <c r="D163" s="46"/>
      <c r="E163" s="46"/>
      <c r="F163" s="46"/>
    </row>
    <row r="164" spans="1:6" x14ac:dyDescent="0.2"/>
    <row r="165" spans="1:6" x14ac:dyDescent="0.2"/>
    <row r="166" spans="1:6" x14ac:dyDescent="0.2"/>
    <row r="167" spans="1:6" x14ac:dyDescent="0.2"/>
    <row r="168" spans="1:6" x14ac:dyDescent="0.2"/>
    <row r="169" spans="1:6" x14ac:dyDescent="0.2"/>
    <row r="170" spans="1:6" x14ac:dyDescent="0.2"/>
    <row r="171" spans="1:6" x14ac:dyDescent="0.2"/>
    <row r="172" spans="1:6" x14ac:dyDescent="0.2"/>
    <row r="173" spans="1:6" x14ac:dyDescent="0.2"/>
    <row r="174" spans="1:6" x14ac:dyDescent="0.2"/>
    <row r="175" spans="1:6" x14ac:dyDescent="0.2"/>
    <row r="176" spans="1:6" x14ac:dyDescent="0.2"/>
    <row r="177" x14ac:dyDescent="0.2"/>
    <row r="178" x14ac:dyDescent="0.2"/>
    <row r="179" x14ac:dyDescent="0.2"/>
    <row r="180" x14ac:dyDescent="0.2"/>
    <row r="181" x14ac:dyDescent="0.2"/>
    <row r="182" x14ac:dyDescent="0.2"/>
    <row r="183" x14ac:dyDescent="0.2"/>
    <row r="184" x14ac:dyDescent="0.2"/>
  </sheetData>
  <sheetProtection sheet="1" formatCells="0" formatRows="0" insertColumns="0" insertRows="0" deleteRows="0"/>
  <mergeCells count="15">
    <mergeCell ref="B7:E7"/>
    <mergeCell ref="B5:E5"/>
    <mergeCell ref="D138:E138"/>
    <mergeCell ref="A1:E1"/>
    <mergeCell ref="A19:E19"/>
    <mergeCell ref="A129:E129"/>
    <mergeCell ref="B2:E2"/>
    <mergeCell ref="B3:E3"/>
    <mergeCell ref="B4:E4"/>
    <mergeCell ref="A8:E8"/>
    <mergeCell ref="A9:E9"/>
    <mergeCell ref="B6:E6"/>
    <mergeCell ref="D17:E17"/>
    <mergeCell ref="D127:E12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12 A16 A131 A137 A12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30 A2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2:A125 A132:A136 A13:A1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B21:B126 B131:B137 B12:B16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4" t="s">
        <v>109</v>
      </c>
      <c r="B1" s="174"/>
      <c r="C1" s="174"/>
      <c r="D1" s="174"/>
      <c r="E1" s="174"/>
      <c r="F1" s="38"/>
    </row>
    <row r="2" spans="1:6" ht="21" customHeight="1" x14ac:dyDescent="0.2">
      <c r="A2" s="4" t="s">
        <v>52</v>
      </c>
      <c r="B2" s="177" t="str">
        <f>'Summary and sign-off'!B2:F2</f>
        <v>Southern District Health Board</v>
      </c>
      <c r="C2" s="177"/>
      <c r="D2" s="177"/>
      <c r="E2" s="177"/>
      <c r="F2" s="38"/>
    </row>
    <row r="3" spans="1:6" ht="21" customHeight="1" x14ac:dyDescent="0.2">
      <c r="A3" s="4" t="s">
        <v>110</v>
      </c>
      <c r="B3" s="177" t="str">
        <f>'Summary and sign-off'!B3:F3</f>
        <v>Chris Fleming</v>
      </c>
      <c r="C3" s="177"/>
      <c r="D3" s="177"/>
      <c r="E3" s="177"/>
      <c r="F3" s="38"/>
    </row>
    <row r="4" spans="1:6" ht="21" customHeight="1" x14ac:dyDescent="0.2">
      <c r="A4" s="4" t="s">
        <v>111</v>
      </c>
      <c r="B4" s="177">
        <f>'Summary and sign-off'!B4:F4</f>
        <v>44013</v>
      </c>
      <c r="C4" s="177"/>
      <c r="D4" s="177"/>
      <c r="E4" s="177"/>
      <c r="F4" s="38"/>
    </row>
    <row r="5" spans="1:6" ht="21" customHeight="1" x14ac:dyDescent="0.2">
      <c r="A5" s="4" t="s">
        <v>112</v>
      </c>
      <c r="B5" s="177" t="str">
        <f>'Summary and sign-off'!B5:F5</f>
        <v>30 June 201</v>
      </c>
      <c r="C5" s="177"/>
      <c r="D5" s="177"/>
      <c r="E5" s="177"/>
      <c r="F5" s="38"/>
    </row>
    <row r="6" spans="1:6" ht="21" customHeight="1" x14ac:dyDescent="0.2">
      <c r="A6" s="4" t="s">
        <v>113</v>
      </c>
      <c r="B6" s="172" t="s">
        <v>81</v>
      </c>
      <c r="C6" s="172"/>
      <c r="D6" s="172"/>
      <c r="E6" s="172"/>
      <c r="F6" s="38"/>
    </row>
    <row r="7" spans="1:6" ht="21" customHeight="1" x14ac:dyDescent="0.2">
      <c r="A7" s="4" t="s">
        <v>56</v>
      </c>
      <c r="B7" s="172" t="s">
        <v>83</v>
      </c>
      <c r="C7" s="172"/>
      <c r="D7" s="172"/>
      <c r="E7" s="172"/>
      <c r="F7" s="38"/>
    </row>
    <row r="8" spans="1:6" ht="35.25" customHeight="1" x14ac:dyDescent="0.25">
      <c r="A8" s="187" t="s">
        <v>137</v>
      </c>
      <c r="B8" s="187"/>
      <c r="C8" s="188"/>
      <c r="D8" s="188"/>
      <c r="E8" s="188"/>
      <c r="F8" s="42"/>
    </row>
    <row r="9" spans="1:6" ht="35.25" customHeight="1" x14ac:dyDescent="0.25">
      <c r="A9" s="185" t="s">
        <v>138</v>
      </c>
      <c r="B9" s="186"/>
      <c r="C9" s="186"/>
      <c r="D9" s="186"/>
      <c r="E9" s="186"/>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69">
        <v>44369</v>
      </c>
      <c r="B12" s="158">
        <f>44.6-5.82</f>
        <v>38.78</v>
      </c>
      <c r="C12" s="162" t="s">
        <v>273</v>
      </c>
      <c r="D12" s="162" t="s">
        <v>280</v>
      </c>
      <c r="E12" s="163" t="s">
        <v>241</v>
      </c>
      <c r="F12" s="2"/>
    </row>
    <row r="13" spans="1:6" s="87" customFormat="1" x14ac:dyDescent="0.2">
      <c r="A13" s="157"/>
      <c r="B13" s="158"/>
      <c r="C13" s="162"/>
      <c r="D13" s="162"/>
      <c r="E13" s="163"/>
      <c r="F13" s="2"/>
    </row>
    <row r="14" spans="1:6" s="87" customFormat="1" ht="11.25" hidden="1" customHeight="1" x14ac:dyDescent="0.2">
      <c r="A14" s="137"/>
      <c r="B14" s="134"/>
      <c r="C14" s="138"/>
      <c r="D14" s="138"/>
      <c r="E14" s="139"/>
      <c r="F14" s="2"/>
    </row>
    <row r="15" spans="1:6" ht="34.5" customHeight="1" x14ac:dyDescent="0.2">
      <c r="A15" s="88" t="s">
        <v>142</v>
      </c>
      <c r="B15" s="97">
        <f>SUM(B11:B14)</f>
        <v>38.78</v>
      </c>
      <c r="C15" s="106" t="str">
        <f>IF(SUBTOTAL(3,B11:B14)=SUBTOTAL(103,B11:B14),'Summary and sign-off'!$A$48,'Summary and sign-off'!$A$49)</f>
        <v>Check - there are no hidden rows with data</v>
      </c>
      <c r="D15" s="178" t="str">
        <f>IF('Summary and sign-off'!F58='Summary and sign-off'!F54,'Summary and sign-off'!A51,'Summary and sign-off'!A50)</f>
        <v>Check - each entry provides sufficient information</v>
      </c>
      <c r="E15" s="178"/>
      <c r="F15" s="2"/>
    </row>
    <row r="16" spans="1:6" x14ac:dyDescent="0.2">
      <c r="A16" s="21"/>
      <c r="B16" s="20"/>
      <c r="C16" s="20"/>
      <c r="D16" s="20"/>
      <c r="E16" s="20"/>
      <c r="F16" s="38"/>
    </row>
    <row r="17" spans="1:6" x14ac:dyDescent="0.2">
      <c r="A17" s="21" t="s">
        <v>73</v>
      </c>
      <c r="B17" s="22"/>
      <c r="C17" s="27"/>
      <c r="D17" s="20"/>
      <c r="E17" s="20"/>
      <c r="F17" s="38"/>
    </row>
    <row r="18" spans="1:6" ht="12.75" customHeight="1" x14ac:dyDescent="0.2">
      <c r="A18" s="23" t="s">
        <v>143</v>
      </c>
      <c r="B18" s="23"/>
      <c r="C18" s="23"/>
      <c r="D18" s="23"/>
      <c r="E18" s="23"/>
      <c r="F18" s="38"/>
    </row>
    <row r="19" spans="1:6" x14ac:dyDescent="0.2">
      <c r="A19" s="23" t="s">
        <v>144</v>
      </c>
      <c r="B19" s="31"/>
      <c r="C19" s="43"/>
      <c r="D19" s="44"/>
      <c r="E19" s="44"/>
      <c r="F19" s="38"/>
    </row>
    <row r="20" spans="1:6" x14ac:dyDescent="0.2">
      <c r="A20" s="23" t="s">
        <v>79</v>
      </c>
      <c r="B20" s="25"/>
      <c r="C20" s="26"/>
      <c r="D20" s="26"/>
      <c r="E20" s="26"/>
      <c r="F20" s="27"/>
    </row>
    <row r="21" spans="1:6" x14ac:dyDescent="0.2">
      <c r="A21" s="31" t="s">
        <v>145</v>
      </c>
      <c r="B21" s="31"/>
      <c r="C21" s="43"/>
      <c r="D21" s="43"/>
      <c r="E21" s="43"/>
      <c r="F21" s="38"/>
    </row>
    <row r="22" spans="1:6" ht="12.75" customHeight="1" x14ac:dyDescent="0.2">
      <c r="A22" s="31" t="s">
        <v>146</v>
      </c>
      <c r="B22" s="31"/>
      <c r="C22" s="45"/>
      <c r="D22" s="45"/>
      <c r="E22" s="33"/>
      <c r="F22" s="38"/>
    </row>
    <row r="23" spans="1:6" x14ac:dyDescent="0.2">
      <c r="A23" s="20"/>
      <c r="B23" s="20"/>
      <c r="C23" s="20"/>
      <c r="D23" s="20"/>
      <c r="E23" s="20"/>
      <c r="F23" s="38"/>
    </row>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2"/>
  <sheetViews>
    <sheetView zoomScaleNormal="100" workbookViewId="0">
      <selection activeCell="C27" sqref="C2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4" t="s">
        <v>109</v>
      </c>
      <c r="B1" s="174"/>
      <c r="C1" s="174"/>
      <c r="D1" s="174"/>
      <c r="E1" s="174"/>
      <c r="F1" s="24"/>
    </row>
    <row r="2" spans="1:6" ht="21" customHeight="1" x14ac:dyDescent="0.2">
      <c r="A2" s="4" t="s">
        <v>52</v>
      </c>
      <c r="B2" s="177" t="str">
        <f>'Summary and sign-off'!B2:F2</f>
        <v>Southern District Health Board</v>
      </c>
      <c r="C2" s="177"/>
      <c r="D2" s="177"/>
      <c r="E2" s="177"/>
      <c r="F2" s="24"/>
    </row>
    <row r="3" spans="1:6" ht="21" customHeight="1" x14ac:dyDescent="0.2">
      <c r="A3" s="4" t="s">
        <v>110</v>
      </c>
      <c r="B3" s="177" t="str">
        <f>'Summary and sign-off'!B3:F3</f>
        <v>Chris Fleming</v>
      </c>
      <c r="C3" s="177"/>
      <c r="D3" s="177"/>
      <c r="E3" s="177"/>
      <c r="F3" s="24"/>
    </row>
    <row r="4" spans="1:6" ht="21" customHeight="1" x14ac:dyDescent="0.2">
      <c r="A4" s="4" t="s">
        <v>111</v>
      </c>
      <c r="B4" s="177">
        <f>'Summary and sign-off'!B4:F4</f>
        <v>44013</v>
      </c>
      <c r="C4" s="177"/>
      <c r="D4" s="177"/>
      <c r="E4" s="177"/>
      <c r="F4" s="24"/>
    </row>
    <row r="5" spans="1:6" ht="21" customHeight="1" x14ac:dyDescent="0.2">
      <c r="A5" s="4" t="s">
        <v>112</v>
      </c>
      <c r="B5" s="177" t="str">
        <f>'Summary and sign-off'!B5:F5</f>
        <v>30 June 201</v>
      </c>
      <c r="C5" s="177"/>
      <c r="D5" s="177"/>
      <c r="E5" s="177"/>
      <c r="F5" s="24"/>
    </row>
    <row r="6" spans="1:6" ht="21" customHeight="1" x14ac:dyDescent="0.2">
      <c r="A6" s="4" t="s">
        <v>113</v>
      </c>
      <c r="B6" s="172" t="s">
        <v>81</v>
      </c>
      <c r="C6" s="172"/>
      <c r="D6" s="172"/>
      <c r="E6" s="172"/>
      <c r="F6" s="34"/>
    </row>
    <row r="7" spans="1:6" ht="21" customHeight="1" x14ac:dyDescent="0.2">
      <c r="A7" s="4" t="s">
        <v>56</v>
      </c>
      <c r="B7" s="172" t="s">
        <v>83</v>
      </c>
      <c r="C7" s="172"/>
      <c r="D7" s="172"/>
      <c r="E7" s="172"/>
      <c r="F7" s="34"/>
    </row>
    <row r="8" spans="1:6" ht="35.25" customHeight="1" x14ac:dyDescent="0.2">
      <c r="A8" s="181" t="s">
        <v>147</v>
      </c>
      <c r="B8" s="181"/>
      <c r="C8" s="188"/>
      <c r="D8" s="188"/>
      <c r="E8" s="188"/>
      <c r="F8" s="24"/>
    </row>
    <row r="9" spans="1:6" ht="35.25" customHeight="1" x14ac:dyDescent="0.2">
      <c r="A9" s="189" t="s">
        <v>148</v>
      </c>
      <c r="B9" s="190"/>
      <c r="C9" s="190"/>
      <c r="D9" s="190"/>
      <c r="E9" s="190"/>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ht="25.5" x14ac:dyDescent="0.2">
      <c r="A12" s="169">
        <v>44252</v>
      </c>
      <c r="B12" s="158">
        <v>86.96</v>
      </c>
      <c r="C12" s="162" t="s">
        <v>266</v>
      </c>
      <c r="D12" s="162" t="s">
        <v>265</v>
      </c>
      <c r="E12" s="163" t="s">
        <v>241</v>
      </c>
      <c r="F12" s="3"/>
    </row>
    <row r="13" spans="1:6" s="87" customFormat="1" x14ac:dyDescent="0.2">
      <c r="A13" s="169">
        <v>44302</v>
      </c>
      <c r="B13" s="158">
        <v>43.47</v>
      </c>
      <c r="C13" s="162" t="s">
        <v>269</v>
      </c>
      <c r="D13" s="162" t="s">
        <v>265</v>
      </c>
      <c r="E13" s="163" t="s">
        <v>220</v>
      </c>
      <c r="F13" s="3"/>
    </row>
    <row r="14" spans="1:6" s="87" customFormat="1" x14ac:dyDescent="0.2">
      <c r="A14" s="169">
        <v>44317</v>
      </c>
      <c r="B14" s="158">
        <v>10500</v>
      </c>
      <c r="C14" s="162" t="s">
        <v>253</v>
      </c>
      <c r="D14" s="162" t="s">
        <v>251</v>
      </c>
      <c r="E14" s="163" t="s">
        <v>256</v>
      </c>
      <c r="F14" s="3"/>
    </row>
    <row r="15" spans="1:6" s="87" customFormat="1" x14ac:dyDescent="0.2">
      <c r="A15" s="169">
        <v>44330</v>
      </c>
      <c r="B15" s="158">
        <v>711.3</v>
      </c>
      <c r="C15" s="162" t="s">
        <v>252</v>
      </c>
      <c r="D15" s="162" t="s">
        <v>251</v>
      </c>
      <c r="E15" s="163" t="s">
        <v>256</v>
      </c>
      <c r="F15" s="3"/>
    </row>
    <row r="16" spans="1:6" s="87" customFormat="1" x14ac:dyDescent="0.2">
      <c r="A16" s="169">
        <v>44331</v>
      </c>
      <c r="B16" s="158">
        <v>303.48</v>
      </c>
      <c r="C16" s="162" t="s">
        <v>264</v>
      </c>
      <c r="D16" s="162" t="s">
        <v>265</v>
      </c>
      <c r="E16" s="163" t="s">
        <v>241</v>
      </c>
      <c r="F16" s="3"/>
    </row>
    <row r="17" spans="1:6" s="87" customFormat="1" x14ac:dyDescent="0.2">
      <c r="A17" s="169" t="s">
        <v>231</v>
      </c>
      <c r="B17" s="158">
        <v>19900</v>
      </c>
      <c r="C17" s="162" t="s">
        <v>271</v>
      </c>
      <c r="D17" s="162" t="s">
        <v>272</v>
      </c>
      <c r="E17" s="163" t="s">
        <v>225</v>
      </c>
      <c r="F17" s="3"/>
    </row>
    <row r="18" spans="1:6" s="87" customFormat="1" x14ac:dyDescent="0.2">
      <c r="A18" s="169" t="s">
        <v>258</v>
      </c>
      <c r="B18" s="158">
        <v>1244.1500000000001</v>
      </c>
      <c r="C18" s="162" t="s">
        <v>254</v>
      </c>
      <c r="D18" s="162" t="s">
        <v>255</v>
      </c>
      <c r="E18" s="163" t="s">
        <v>257</v>
      </c>
      <c r="F18" s="3"/>
    </row>
    <row r="19" spans="1:6" s="87" customFormat="1" x14ac:dyDescent="0.2">
      <c r="A19" s="161"/>
      <c r="B19" s="158"/>
      <c r="C19" s="162"/>
      <c r="D19" s="162"/>
      <c r="E19" s="163"/>
      <c r="F19" s="3"/>
    </row>
    <row r="20" spans="1:6" s="87" customFormat="1" hidden="1" x14ac:dyDescent="0.2">
      <c r="A20" s="137"/>
      <c r="B20" s="134"/>
      <c r="C20" s="138"/>
      <c r="D20" s="138"/>
      <c r="E20" s="139"/>
      <c r="F20" s="3"/>
    </row>
    <row r="21" spans="1:6" ht="34.5" customHeight="1" x14ac:dyDescent="0.2">
      <c r="A21" s="88" t="s">
        <v>151</v>
      </c>
      <c r="B21" s="97">
        <f>SUM(B11:B20)</f>
        <v>32789.360000000001</v>
      </c>
      <c r="C21" s="106" t="str">
        <f>IF(SUBTOTAL(3,B11:B20)=SUBTOTAL(103,B11:B20),'Summary and sign-off'!$A$48,'Summary and sign-off'!$A$49)</f>
        <v>Check - there are no hidden rows with data</v>
      </c>
      <c r="D21" s="178" t="str">
        <f>IF('Summary and sign-off'!F59='Summary and sign-off'!F54,'Summary and sign-off'!A51,'Summary and sign-off'!A50)</f>
        <v>Check - each entry provides sufficient information</v>
      </c>
      <c r="E21" s="178"/>
      <c r="F21" s="37"/>
    </row>
    <row r="22" spans="1:6" ht="14.1" customHeight="1" x14ac:dyDescent="0.2">
      <c r="A22" s="38"/>
      <c r="B22" s="27"/>
      <c r="C22" s="20"/>
      <c r="D22" s="20"/>
      <c r="E22" s="20"/>
      <c r="F22" s="24"/>
    </row>
    <row r="23" spans="1:6" x14ac:dyDescent="0.2">
      <c r="A23" s="21" t="s">
        <v>152</v>
      </c>
      <c r="B23" s="20"/>
      <c r="C23" s="20"/>
      <c r="D23" s="20"/>
      <c r="E23" s="20"/>
      <c r="F23" s="24"/>
    </row>
    <row r="24" spans="1:6" ht="12.6" customHeight="1" x14ac:dyDescent="0.2">
      <c r="A24" s="23" t="s">
        <v>131</v>
      </c>
      <c r="B24" s="20"/>
      <c r="C24" s="20"/>
      <c r="D24" s="20"/>
      <c r="E24" s="20"/>
      <c r="F24" s="24"/>
    </row>
    <row r="25" spans="1:6" x14ac:dyDescent="0.2">
      <c r="A25" s="23" t="s">
        <v>79</v>
      </c>
      <c r="B25" s="25"/>
      <c r="C25" s="26"/>
      <c r="D25" s="26"/>
      <c r="E25" s="26"/>
      <c r="F25" s="27"/>
    </row>
    <row r="26" spans="1:6" x14ac:dyDescent="0.2">
      <c r="A26" s="31" t="s">
        <v>145</v>
      </c>
      <c r="B26" s="32"/>
      <c r="C26" s="27"/>
      <c r="D26" s="27"/>
      <c r="E26" s="27"/>
      <c r="F26" s="27"/>
    </row>
    <row r="27" spans="1:6" ht="12.75" customHeight="1" x14ac:dyDescent="0.2">
      <c r="A27" s="31" t="s">
        <v>146</v>
      </c>
      <c r="B27" s="39"/>
      <c r="C27" s="33"/>
      <c r="D27" s="33"/>
      <c r="E27" s="33"/>
      <c r="F27" s="33"/>
    </row>
    <row r="28" spans="1:6" x14ac:dyDescent="0.2">
      <c r="A28" s="38"/>
      <c r="B28" s="40"/>
      <c r="C28" s="20"/>
      <c r="D28" s="20"/>
      <c r="E28" s="20"/>
      <c r="F28" s="38"/>
    </row>
    <row r="29" spans="1:6" hidden="1" x14ac:dyDescent="0.2">
      <c r="A29" s="20"/>
      <c r="B29" s="20"/>
      <c r="C29" s="20"/>
      <c r="D29" s="20"/>
      <c r="E29" s="38"/>
    </row>
    <row r="30" spans="1:6" ht="12.75" hidden="1" customHeight="1" x14ac:dyDescent="0.2"/>
    <row r="31" spans="1:6" hidden="1" x14ac:dyDescent="0.2">
      <c r="A31" s="41"/>
      <c r="B31" s="41"/>
      <c r="C31" s="41"/>
      <c r="D31" s="41"/>
      <c r="E31" s="41"/>
      <c r="F31" s="24"/>
    </row>
    <row r="32" spans="1:6" hidden="1" x14ac:dyDescent="0.2">
      <c r="A32" s="41"/>
      <c r="B32" s="41"/>
      <c r="C32" s="41"/>
      <c r="D32" s="41"/>
      <c r="E32" s="41"/>
      <c r="F32" s="24"/>
    </row>
    <row r="33" spans="1:6" hidden="1" x14ac:dyDescent="0.2">
      <c r="A33" s="41"/>
      <c r="B33" s="41"/>
      <c r="C33" s="41"/>
      <c r="D33" s="41"/>
      <c r="E33" s="41"/>
      <c r="F33" s="24"/>
    </row>
    <row r="34" spans="1:6" hidden="1" x14ac:dyDescent="0.2">
      <c r="A34" s="41"/>
      <c r="B34" s="41"/>
      <c r="C34" s="41"/>
      <c r="D34" s="41"/>
      <c r="E34" s="41"/>
      <c r="F34" s="24"/>
    </row>
    <row r="35" spans="1:6" hidden="1" x14ac:dyDescent="0.2">
      <c r="A35" s="41"/>
      <c r="B35" s="41"/>
      <c r="C35" s="41"/>
      <c r="D35" s="41"/>
      <c r="E35" s="41"/>
      <c r="F35" s="24"/>
    </row>
    <row r="36" spans="1:6" x14ac:dyDescent="0.2"/>
    <row r="37" spans="1:6" x14ac:dyDescent="0.2"/>
    <row r="38" spans="1:6" x14ac:dyDescent="0.2"/>
    <row r="39" spans="1:6" x14ac:dyDescent="0.2"/>
    <row r="40" spans="1:6" x14ac:dyDescent="0.2"/>
    <row r="41" spans="1:6" x14ac:dyDescent="0.2"/>
    <row r="42" spans="1:6" x14ac:dyDescent="0.2"/>
  </sheetData>
  <sheetProtection sheet="1" formatCells="0" insertRows="0" deleteRows="0"/>
  <mergeCells count="10">
    <mergeCell ref="D21:E2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A15:A17 A18 A19"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3"/>
  <sheetViews>
    <sheetView zoomScaleNormal="100" workbookViewId="0">
      <selection activeCell="A19" sqref="A19"/>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4" t="s">
        <v>153</v>
      </c>
      <c r="B1" s="174"/>
      <c r="C1" s="174"/>
      <c r="D1" s="174"/>
      <c r="E1" s="174"/>
      <c r="F1" s="174"/>
    </row>
    <row r="2" spans="1:6" ht="21" customHeight="1" x14ac:dyDescent="0.2">
      <c r="A2" s="4" t="s">
        <v>52</v>
      </c>
      <c r="B2" s="177" t="str">
        <f>'Summary and sign-off'!B2:F2</f>
        <v>Southern District Health Board</v>
      </c>
      <c r="C2" s="177"/>
      <c r="D2" s="177"/>
      <c r="E2" s="177"/>
      <c r="F2" s="177"/>
    </row>
    <row r="3" spans="1:6" ht="21" customHeight="1" x14ac:dyDescent="0.2">
      <c r="A3" s="4" t="s">
        <v>110</v>
      </c>
      <c r="B3" s="177" t="str">
        <f>'Summary and sign-off'!B3:F3</f>
        <v>Chris Fleming</v>
      </c>
      <c r="C3" s="177"/>
      <c r="D3" s="177"/>
      <c r="E3" s="177"/>
      <c r="F3" s="177"/>
    </row>
    <row r="4" spans="1:6" ht="21" customHeight="1" x14ac:dyDescent="0.2">
      <c r="A4" s="4" t="s">
        <v>111</v>
      </c>
      <c r="B4" s="177">
        <f>'Summary and sign-off'!B4:F4</f>
        <v>44013</v>
      </c>
      <c r="C4" s="177"/>
      <c r="D4" s="177"/>
      <c r="E4" s="177"/>
      <c r="F4" s="177"/>
    </row>
    <row r="5" spans="1:6" ht="21" customHeight="1" x14ac:dyDescent="0.2">
      <c r="A5" s="4" t="s">
        <v>112</v>
      </c>
      <c r="B5" s="177" t="str">
        <f>'Summary and sign-off'!B5:F5</f>
        <v>30 June 201</v>
      </c>
      <c r="C5" s="177"/>
      <c r="D5" s="177"/>
      <c r="E5" s="177"/>
      <c r="F5" s="177"/>
    </row>
    <row r="6" spans="1:6" ht="21" customHeight="1" x14ac:dyDescent="0.2">
      <c r="A6" s="4" t="s">
        <v>154</v>
      </c>
      <c r="B6" s="172" t="s">
        <v>81</v>
      </c>
      <c r="C6" s="172"/>
      <c r="D6" s="172"/>
      <c r="E6" s="172"/>
      <c r="F6" s="172"/>
    </row>
    <row r="7" spans="1:6" ht="21" customHeight="1" x14ac:dyDescent="0.2">
      <c r="A7" s="4" t="s">
        <v>56</v>
      </c>
      <c r="B7" s="172" t="s">
        <v>83</v>
      </c>
      <c r="C7" s="172"/>
      <c r="D7" s="172"/>
      <c r="E7" s="172"/>
      <c r="F7" s="172"/>
    </row>
    <row r="8" spans="1:6" ht="36" customHeight="1" x14ac:dyDescent="0.2">
      <c r="A8" s="181" t="s">
        <v>155</v>
      </c>
      <c r="B8" s="181"/>
      <c r="C8" s="181"/>
      <c r="D8" s="181"/>
      <c r="E8" s="181"/>
      <c r="F8" s="181"/>
    </row>
    <row r="9" spans="1:6" ht="36" customHeight="1" x14ac:dyDescent="0.2">
      <c r="A9" s="189" t="s">
        <v>156</v>
      </c>
      <c r="B9" s="190"/>
      <c r="C9" s="190"/>
      <c r="D9" s="190"/>
      <c r="E9" s="190"/>
      <c r="F9" s="190"/>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70" t="s">
        <v>259</v>
      </c>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hidden="1" x14ac:dyDescent="0.2">
      <c r="A16" s="133"/>
      <c r="B16" s="138"/>
      <c r="C16" s="140"/>
      <c r="D16" s="138"/>
      <c r="E16" s="141"/>
      <c r="F16" s="139"/>
    </row>
    <row r="17" spans="1:7" ht="34.5" customHeight="1" x14ac:dyDescent="0.2">
      <c r="A17" s="152" t="s">
        <v>162</v>
      </c>
      <c r="B17" s="153" t="s">
        <v>163</v>
      </c>
      <c r="C17" s="154">
        <f>C18+C19</f>
        <v>0</v>
      </c>
      <c r="D17" s="155" t="str">
        <f>IF(SUBTOTAL(3,C11:C16)=SUBTOTAL(103,C11:C16),'Summary and sign-off'!$A$48,'Summary and sign-off'!$A$49)</f>
        <v>Check - there are no hidden rows with data</v>
      </c>
      <c r="E17" s="178" t="str">
        <f>IF('Summary and sign-off'!F60='Summary and sign-off'!F54,'Summary and sign-off'!A52,'Summary and sign-off'!A50)</f>
        <v>Check - each entry provides sufficient information</v>
      </c>
      <c r="F17" s="178"/>
      <c r="G17" s="87"/>
    </row>
    <row r="18" spans="1:7" ht="25.5" customHeight="1" x14ac:dyDescent="0.25">
      <c r="A18" s="89"/>
      <c r="B18" s="90" t="s">
        <v>96</v>
      </c>
      <c r="C18" s="91">
        <f>COUNTIF(C11:C16,'Summary and sign-off'!A45)</f>
        <v>0</v>
      </c>
      <c r="D18" s="17"/>
      <c r="E18" s="18"/>
      <c r="F18" s="19"/>
    </row>
    <row r="19" spans="1:7" ht="25.5" customHeight="1" x14ac:dyDescent="0.25">
      <c r="A19" s="89"/>
      <c r="B19" s="90" t="s">
        <v>97</v>
      </c>
      <c r="C19" s="91">
        <f>COUNTIF(C11:C16,'Summary and sign-off'!A46)</f>
        <v>0</v>
      </c>
      <c r="D19" s="17"/>
      <c r="E19" s="18"/>
      <c r="F19" s="19"/>
    </row>
    <row r="20" spans="1:7" x14ac:dyDescent="0.2">
      <c r="A20" s="20"/>
      <c r="B20" s="21"/>
      <c r="C20" s="20"/>
      <c r="D20" s="22"/>
      <c r="E20" s="22"/>
      <c r="F20" s="20"/>
    </row>
    <row r="21" spans="1:7" x14ac:dyDescent="0.2">
      <c r="A21" s="21" t="s">
        <v>152</v>
      </c>
      <c r="B21" s="21"/>
      <c r="C21" s="21"/>
      <c r="D21" s="21"/>
      <c r="E21" s="21"/>
      <c r="F21" s="21"/>
    </row>
    <row r="22" spans="1:7" ht="12.6" customHeight="1" x14ac:dyDescent="0.2">
      <c r="A22" s="23" t="s">
        <v>131</v>
      </c>
      <c r="B22" s="20"/>
      <c r="C22" s="20"/>
      <c r="D22" s="20"/>
      <c r="E22" s="20"/>
      <c r="F22" s="24"/>
    </row>
    <row r="23" spans="1:7" x14ac:dyDescent="0.2">
      <c r="A23" s="23" t="s">
        <v>79</v>
      </c>
      <c r="B23" s="25"/>
      <c r="C23" s="26"/>
      <c r="D23" s="26"/>
      <c r="E23" s="26"/>
      <c r="F23" s="27"/>
    </row>
    <row r="24" spans="1:7" x14ac:dyDescent="0.2">
      <c r="A24" s="23" t="s">
        <v>164</v>
      </c>
      <c r="B24" s="28"/>
      <c r="C24" s="28"/>
      <c r="D24" s="28"/>
      <c r="E24" s="28"/>
      <c r="F24" s="28"/>
    </row>
    <row r="25" spans="1:7" ht="12.75" customHeight="1" x14ac:dyDescent="0.2">
      <c r="A25" s="23" t="s">
        <v>165</v>
      </c>
      <c r="B25" s="20"/>
      <c r="C25" s="20"/>
      <c r="D25" s="20"/>
      <c r="E25" s="20"/>
      <c r="F25" s="20"/>
    </row>
    <row r="26" spans="1:7" ht="12.95" customHeight="1" x14ac:dyDescent="0.2">
      <c r="A26" s="29" t="s">
        <v>166</v>
      </c>
      <c r="B26" s="30"/>
      <c r="C26" s="30"/>
      <c r="D26" s="30"/>
      <c r="E26" s="30"/>
      <c r="F26" s="30"/>
    </row>
    <row r="27" spans="1:7" x14ac:dyDescent="0.2">
      <c r="A27" s="31" t="s">
        <v>167</v>
      </c>
      <c r="B27" s="32"/>
      <c r="C27" s="27"/>
      <c r="D27" s="27"/>
      <c r="E27" s="27"/>
      <c r="F27" s="27"/>
    </row>
    <row r="28" spans="1:7" ht="12.75" customHeight="1" x14ac:dyDescent="0.2">
      <c r="A28" s="31" t="s">
        <v>146</v>
      </c>
      <c r="B28" s="23"/>
      <c r="C28" s="33"/>
      <c r="D28" s="33"/>
      <c r="E28" s="33"/>
      <c r="F28" s="33"/>
    </row>
    <row r="29" spans="1:7" ht="12.75" customHeight="1" x14ac:dyDescent="0.2">
      <c r="A29" s="23"/>
      <c r="B29" s="23"/>
      <c r="C29" s="33"/>
      <c r="D29" s="33"/>
      <c r="E29" s="33"/>
      <c r="F29" s="33"/>
    </row>
    <row r="30" spans="1:7" ht="12.75" hidden="1" customHeight="1" x14ac:dyDescent="0.2">
      <c r="A30" s="23"/>
      <c r="B30" s="23"/>
      <c r="C30" s="33"/>
      <c r="D30" s="33"/>
      <c r="E30" s="33"/>
      <c r="F30" s="33"/>
    </row>
    <row r="31" spans="1:7" x14ac:dyDescent="0.2"/>
    <row r="32" spans="1:7" x14ac:dyDescent="0.2"/>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c r="A36" s="21"/>
      <c r="B36" s="21"/>
      <c r="C36" s="21"/>
      <c r="D36" s="21"/>
      <c r="E36" s="21"/>
      <c r="F36" s="21"/>
    </row>
    <row r="37" spans="1:6" hidden="1" x14ac:dyDescent="0.2">
      <c r="A37" s="21"/>
      <c r="B37" s="21"/>
      <c r="C37" s="21"/>
      <c r="D37" s="21"/>
      <c r="E37" s="21"/>
      <c r="F37" s="21"/>
    </row>
    <row r="38" spans="1:6" x14ac:dyDescent="0.2"/>
    <row r="39" spans="1:6" x14ac:dyDescent="0.2"/>
    <row r="40" spans="1:6" x14ac:dyDescent="0.2"/>
    <row r="41" spans="1:6" x14ac:dyDescent="0.2"/>
    <row r="42" spans="1:6" x14ac:dyDescent="0.2"/>
    <row r="43" spans="1:6" x14ac:dyDescent="0.2"/>
  </sheetData>
  <sheetProtection sheet="1" formatCells="0" insertRows="0" deleteRows="0"/>
  <dataConsolidate/>
  <mergeCells count="10">
    <mergeCell ref="E17:F1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C11:C16</xm:sqref>
        </x14:dataValidation>
        <x14:dataValidation type="list" errorStyle="information" operator="greaterThan" allowBlank="1" showInputMessage="1" prompt="Provide specific $ value if possible" xr:uid="{00000000-0002-0000-0500-000003000000}">
          <x14:formula1>
            <xm:f>'Summary and sign-off'!$A$39:$A$44</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688b541-bf54-4630-937b-6cf4ba343cdb">
      <UserInfo>
        <DisplayName>Ken Smart</DisplayName>
        <AccountId>87</AccountId>
        <AccountType/>
      </UserInfo>
      <UserInfo>
        <DisplayName>Nehalkumar patel</DisplayName>
        <AccountId>157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E330C4751F4345A46A7BBD49D3E946" ma:contentTypeVersion="13" ma:contentTypeDescription="Create a new document." ma:contentTypeScope="" ma:versionID="920d02a911dc83d6189a1c57ef66497b">
  <xsd:schema xmlns:xsd="http://www.w3.org/2001/XMLSchema" xmlns:xs="http://www.w3.org/2001/XMLSchema" xmlns:p="http://schemas.microsoft.com/office/2006/metadata/properties" xmlns:ns2="26e615d7-aa45-47a8-8ffc-ce310c73719c" xmlns:ns3="3688b541-bf54-4630-937b-6cf4ba343cdb" targetNamespace="http://schemas.microsoft.com/office/2006/metadata/properties" ma:root="true" ma:fieldsID="c7287be647f8c4fb7b2e459046e1127b" ns2:_="" ns3:_="">
    <xsd:import namespace="26e615d7-aa45-47a8-8ffc-ce310c73719c"/>
    <xsd:import namespace="3688b541-bf54-4630-937b-6cf4ba343c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e615d7-aa45-47a8-8ffc-ce310c7371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688b541-bf54-4630-937b-6cf4ba343c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schemas.microsoft.com/office/infopath/2007/PartnerControls"/>
    <ds:schemaRef ds:uri="26e615d7-aa45-47a8-8ffc-ce310c73719c"/>
    <ds:schemaRef ds:uri="http://schemas.microsoft.com/office/2006/documentManagement/types"/>
    <ds:schemaRef ds:uri="http://schemas.openxmlformats.org/package/2006/metadata/core-properties"/>
    <ds:schemaRef ds:uri="http://purl.org/dc/terms/"/>
    <ds:schemaRef ds:uri="http://www.w3.org/XML/1998/namespace"/>
    <ds:schemaRef ds:uri="http://purl.org/dc/elements/1.1/"/>
    <ds:schemaRef ds:uri="3688b541-bf54-4630-937b-6cf4ba343c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193AE0D-EC32-426E-BD82-BD96DCC5E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e615d7-aa45-47a8-8ffc-ce310c73719c"/>
    <ds:schemaRef ds:uri="3688b541-bf54-4630-937b-6cf4ba343c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Janie Ellis</cp:lastModifiedBy>
  <cp:revision/>
  <dcterms:created xsi:type="dcterms:W3CDTF">2010-10-17T20:59:02Z</dcterms:created>
  <dcterms:modified xsi:type="dcterms:W3CDTF">2021-08-15T23:25:00Z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0x010100F4E330C4751F4345A46A7BBD49D3E946</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