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vfile\DNKJLB0$\Kate's documents\CE Expense Disclosures\CE Expense Disclosures - 2018-2019\"/>
    </mc:Choice>
  </mc:AlternateContent>
  <bookViews>
    <workbookView xWindow="0" yWindow="0" windowWidth="23040" windowHeight="919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expenses'!$A$1:$E$25</definedName>
    <definedName name="_xlnm.Print_Area" localSheetId="5">'Gifts and benefits'!$A$1:$F$27</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Travel!$A$1:$E$204</definedName>
  </definedNames>
  <calcPr calcId="152511"/>
</workbook>
</file>

<file path=xl/calcChain.xml><?xml version="1.0" encoding="utf-8"?>
<calcChain xmlns="http://schemas.openxmlformats.org/spreadsheetml/2006/main">
  <c r="B38" i="1" l="1"/>
  <c r="B169" i="1" l="1"/>
  <c r="B175" i="1"/>
  <c r="B171" i="1"/>
  <c r="B179" i="1"/>
  <c r="B153" i="1"/>
  <c r="B146" i="1"/>
  <c r="B28" i="1"/>
  <c r="B20" i="1"/>
  <c r="B16" i="1"/>
  <c r="B126" i="1"/>
  <c r="B85" i="1"/>
  <c r="B82" i="1"/>
  <c r="B150" i="1" l="1"/>
  <c r="B142" i="1"/>
  <c r="B135" i="1"/>
  <c r="B132" i="1"/>
  <c r="B129" i="1"/>
  <c r="B109" i="1" l="1"/>
  <c r="B114" i="1"/>
  <c r="B94" i="1"/>
  <c r="B79" i="1"/>
  <c r="B63" i="1" l="1"/>
  <c r="B68" i="1"/>
  <c r="B49" i="1"/>
  <c r="B42" i="1"/>
  <c r="D16" i="4" l="1"/>
  <c r="C19" i="3"/>
  <c r="C16" i="2"/>
  <c r="C183" i="1"/>
  <c r="C193" i="1"/>
  <c r="C33" i="1"/>
  <c r="B6" i="13" l="1"/>
  <c r="E59" i="13"/>
  <c r="C59" i="13"/>
  <c r="C18" i="4"/>
  <c r="C17" i="4"/>
  <c r="B59" i="13" l="1"/>
  <c r="B58" i="13"/>
  <c r="D58" i="13"/>
  <c r="B57" i="13"/>
  <c r="D57" i="13"/>
  <c r="D56" i="13"/>
  <c r="B56" i="13"/>
  <c r="D55" i="13"/>
  <c r="B55" i="13"/>
  <c r="D54" i="13"/>
  <c r="B54" i="13"/>
  <c r="B2" i="4"/>
  <c r="B3" i="4"/>
  <c r="B2" i="3"/>
  <c r="B3" i="3"/>
  <c r="B2" i="2"/>
  <c r="B3" i="2"/>
  <c r="B2" i="1"/>
  <c r="B3" i="1"/>
  <c r="F57" i="13" l="1"/>
  <c r="D16" i="2" s="1"/>
  <c r="F59" i="13"/>
  <c r="E16" i="4" s="1"/>
  <c r="F58" i="13"/>
  <c r="D19" i="3" s="1"/>
  <c r="F56" i="13"/>
  <c r="D193" i="1" s="1"/>
  <c r="F55" i="13"/>
  <c r="D183" i="1" s="1"/>
  <c r="F54" i="13"/>
  <c r="D33" i="1" s="1"/>
  <c r="C13" i="13"/>
  <c r="C12" i="13"/>
  <c r="C11" i="13"/>
  <c r="C16" i="13" l="1"/>
  <c r="C17" i="13"/>
  <c r="B5" i="4" l="1"/>
  <c r="B4" i="4"/>
  <c r="B5" i="3"/>
  <c r="B4" i="3"/>
  <c r="B5" i="2"/>
  <c r="B4" i="2"/>
  <c r="B5" i="1"/>
  <c r="B4" i="1"/>
  <c r="C15" i="13" l="1"/>
  <c r="F12" i="13" l="1"/>
  <c r="C16" i="4"/>
  <c r="F11" i="13" s="1"/>
  <c r="F13" i="13" l="1"/>
  <c r="B193" i="1"/>
  <c r="B17" i="13" s="1"/>
  <c r="B183" i="1"/>
  <c r="B16" i="13" s="1"/>
  <c r="B33" i="1"/>
  <c r="B15" i="13" s="1"/>
  <c r="B19" i="3" l="1"/>
  <c r="B13" i="13" s="1"/>
  <c r="B16" i="2"/>
  <c r="B12" i="13" s="1"/>
  <c r="B11" i="13" l="1"/>
  <c r="B195"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36" authorId="0" shapeId="0">
      <text>
        <r>
          <rPr>
            <sz val="9"/>
            <color indexed="81"/>
            <rFont val="Tahoma"/>
            <family val="2"/>
          </rPr>
          <t xml:space="preserve">
Insert additional rows as needed:
- 'right click' on a row number (left of screen)
- select 'Insert' (this will insert a row above it)
</t>
        </r>
      </text>
    </comment>
    <comment ref="A18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<sst xmlns="http://schemas.openxmlformats.org/spreadsheetml/2006/main" count="824" uniqueCount="362">
  <si>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</si>
  <si>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</si>
  <si>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</si>
  <si>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</si>
  <si>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</si>
  <si>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</si>
  <si>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</si>
  <si>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</si>
  <si>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</si>
  <si>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</si>
  <si>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</si>
  <si>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</si>
  <si>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</si>
  <si>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</si>
  <si>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</si>
  <si>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</si>
  <si>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</si>
  <si>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</si>
  <si>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</si>
  <si>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</si>
  <si>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</si>
  <si>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</si>
  <si>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</si>
  <si>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</si>
  <si>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</si>
  <si>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</si>
  <si>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</si>
  <si>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</si>
  <si>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</si>
  <si>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</si>
  <si>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</si>
  <si>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</si>
  <si>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</si>
  <si>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</si>
  <si>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</si>
  <si>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</si>
  <si>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</si>
  <si>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</si>
  <si>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</si>
  <si>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</si>
  <si>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</si>
  <si>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</si>
  <si>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</si>
  <si>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</si>
  <si>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</si>
  <si>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</si>
  <si>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</si>
  <si>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</si>
  <si>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</si>
  <si>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</si>
  <si>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</si>
  <si>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</si>
  <si>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</si>
  <si>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</si>
  <si>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</si>
  <si>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</si>
  <si>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</si>
  <si>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</si>
  <si>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</si>
  <si>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</si>
  <si>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</si>
  <si>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</si>
  <si>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</si>
  <si>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</si>
  <si>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</si>
  <si>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</si>
  <si>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</si>
  <si>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</si>
  <si>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</si>
  <si>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</si>
  <si>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</si>
  <si>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</si>
  <si>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</si>
  <si>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</si>
  <si>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</si>
  <si>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</si>
  <si>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</si>
  <si>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</si>
  <si>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</si>
  <si>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</si>
  <si>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</si>
  <si>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</si>
  <si>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</si>
  <si>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</si>
  <si>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</si>
  <si>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</si>
  <si>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</si>
  <si>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</si>
  <si>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</si>
  <si>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</si>
  <si>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</si>
  <si>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</si>
  <si>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</si>
  <si>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</si>
  <si>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</si>
  <si>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</si>
  <si>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</si>
  <si>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</si>
  <si>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</si>
  <si>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</si>
  <si>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</si>
  <si>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</si>
  <si>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</si>
  <si>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</si>
  <si>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</si>
  <si>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</si>
  <si>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</si>
  <si>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</si>
  <si>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</si>
  <si>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</si>
  <si>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</si>
  <si>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</si>
  <si>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</si>
  <si>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</si>
  <si>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</si>
  <si>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</si>
  <si>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</si>
  <si>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</si>
  <si>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</si>
  <si>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</si>
  <si>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</si>
  <si>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</si>
  <si>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</si>
  <si>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</si>
  <si>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</si>
  <si>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</si>
  <si>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</si>
  <si>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</si>
  <si>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</si>
  <si>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</si>
  <si>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</si>
  <si>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</si>
  <si>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</si>
  <si>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</si>
  <si>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</si>
  <si>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</si>
  <si>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</si>
  <si>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</si>
  <si>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</si>
  <si>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</si>
  <si>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</si>
  <si>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</si>
  <si>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</si>
  <si>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</si>
  <si>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</si>
  <si>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</si>
  <si>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</si>
  <si>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</si>
  <si>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</si>
  <si>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</si>
  <si>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</si>
  <si>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</si>
  <si>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</si>
  <si>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</si>
  <si>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</si>
  <si>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</si>
  <si>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</si>
  <si>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</si>
  <si>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</si>
  <si>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</si>
  <si>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</si>
  <si>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</si>
  <si>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</si>
  <si>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</si>
  <si>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</si>
  <si>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</si>
  <si>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</si>
  <si>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</si>
  <si>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Southern District Health Board</t>
  </si>
  <si>
    <t>Chris Fleming</t>
  </si>
  <si>
    <t>Wellington</t>
  </si>
  <si>
    <t>Invercargill</t>
  </si>
  <si>
    <t>Christchurch</t>
  </si>
  <si>
    <t>Taxi Fares (x2)</t>
  </si>
  <si>
    <t>Attendance at Home and Community Support Services Joint Working Group Meeting</t>
  </si>
  <si>
    <t>Taxi Fares (x3)</t>
  </si>
  <si>
    <t>Taxi Fare</t>
  </si>
  <si>
    <t>Attendance at National DHB CEOs Meeting</t>
  </si>
  <si>
    <t>Mileage</t>
  </si>
  <si>
    <t>Meals (x2 staff)</t>
  </si>
  <si>
    <t>Dunedin</t>
  </si>
  <si>
    <t>Mileage - Dunedin to Clyde return</t>
  </si>
  <si>
    <t>Clyde</t>
  </si>
  <si>
    <t>Mileage - Dunedin to Invercargill return</t>
  </si>
  <si>
    <t>2 to 4 October 2018</t>
  </si>
  <si>
    <t>17 to 18 October 2018</t>
  </si>
  <si>
    <t>Mileage - Dunedin to Oamaru, Oamaru to Alexandra, Alexandra to Queenstown, Queenstown to Gore, Gore to Balclutha, Balclutha to Invercargill and Invercargill to Dunedin</t>
  </si>
  <si>
    <t>Oamaru/Alexandra/ Queenstown/Gore/ Balclutha/Invercargill</t>
  </si>
  <si>
    <t>20 to 22 November 2018</t>
  </si>
  <si>
    <t>Parking</t>
  </si>
  <si>
    <t>Queenstown</t>
  </si>
  <si>
    <t>Attendance at meeting with Queenstown Airport Corporation</t>
  </si>
  <si>
    <t>Attendance at Mediation Meeting</t>
  </si>
  <si>
    <t xml:space="preserve">Dunedin </t>
  </si>
  <si>
    <t>Attendance at Commissioner and CEO visits to rural sites for meetings with staff and community members and Executive Leadership Team Meeting at Southland Hospital</t>
  </si>
  <si>
    <t>Meals (x3 staff)</t>
  </si>
  <si>
    <t>Meal</t>
  </si>
  <si>
    <t>24 to 26 July 2018</t>
  </si>
  <si>
    <t>Attendance at meetings in Queenstown and Invercargill as below</t>
  </si>
  <si>
    <t>Attendance at Southern DHB Governance Meetings at Southland Hospital</t>
  </si>
  <si>
    <t>Queenstown/Invercargill</t>
  </si>
  <si>
    <t>Attendance at meetings with Queenstown Airport Corporation and Queenstown residents re Queenstown Private Hospital</t>
  </si>
  <si>
    <t>Accommodation</t>
  </si>
  <si>
    <t>Attendance at meeting with the Board of Central Otago Health Services Ltd at Dunstan Hospital</t>
  </si>
  <si>
    <t>19 to 20 August 2018</t>
  </si>
  <si>
    <t>Presence on Southland Hospital site as above</t>
  </si>
  <si>
    <t>12 to 13 September 2018</t>
  </si>
  <si>
    <t>Attendance at 'From Silos to Systems' workshop</t>
  </si>
  <si>
    <t>8 to 9 October 2018</t>
  </si>
  <si>
    <t>Attendance at South Island DHBs Alliance Strategic Workshop and Board Meeting</t>
  </si>
  <si>
    <t>7 to 8 November 2018</t>
  </si>
  <si>
    <t>Sydney, Australia</t>
  </si>
  <si>
    <t>2 to 4 December 2018</t>
  </si>
  <si>
    <t>Attendance at Learning Set Meeting</t>
  </si>
  <si>
    <t>Overnight stay on trip home from Learning Set Meeting in Sydney (see international section above for other costs)</t>
  </si>
  <si>
    <t>Auckland</t>
  </si>
  <si>
    <t>5 to 6 December 2018</t>
  </si>
  <si>
    <t>9 to 10 December 2018</t>
  </si>
  <si>
    <t>Attendance at South Island DHBs Alliance meetings - Alliance Leadership Team Meeting and Board Meeting</t>
  </si>
  <si>
    <t>13 to 14 December 2018</t>
  </si>
  <si>
    <t>Attendance at Southland staff member's funeral</t>
  </si>
  <si>
    <t>Attendance at Home and Community Support Services Devolution Steering Group Meeting</t>
  </si>
  <si>
    <t>29 to 30 January 2019</t>
  </si>
  <si>
    <t xml:space="preserve">4 to 5 February 2019 </t>
  </si>
  <si>
    <t>Presence on the Southland Hospital site as rostered Executive Leadership Team member onsite</t>
  </si>
  <si>
    <t>Attendance at South Island DHBs Alliance Leadership Team Meeting</t>
  </si>
  <si>
    <t>Wanaka</t>
  </si>
  <si>
    <t>13 to 14 February 2019</t>
  </si>
  <si>
    <t>23 February to 2 March 2019</t>
  </si>
  <si>
    <t>Attendance at Leadership and Innovation in Health course at Monash University</t>
  </si>
  <si>
    <t>Melbourne, Australia</t>
  </si>
  <si>
    <t>Airfares - Dunedin to Melbourne return</t>
  </si>
  <si>
    <t>13 to 14 March 2019</t>
  </si>
  <si>
    <t>Attendance at presentation of draft report by external reviewers and visit to new Canterbury DHB buildings</t>
  </si>
  <si>
    <t>31 March to 2 April 2019</t>
  </si>
  <si>
    <t>10 to 11 April 2019</t>
  </si>
  <si>
    <t>16 to 17 April 2019</t>
  </si>
  <si>
    <t>8 to 9 May 2019</t>
  </si>
  <si>
    <t>9 to 10 May 2019</t>
  </si>
  <si>
    <t>15 to 16 May 2019</t>
  </si>
  <si>
    <t>19 to 20 May 2019</t>
  </si>
  <si>
    <t>Queenstown/Clyde</t>
  </si>
  <si>
    <t>22 to 25 May 2019</t>
  </si>
  <si>
    <t>Brisbane, Australia</t>
  </si>
  <si>
    <t>25 to 27 May 2019</t>
  </si>
  <si>
    <t>Attendance at interview with Queenstown media</t>
  </si>
  <si>
    <t>Airfares - Dunedin to Sydney return</t>
  </si>
  <si>
    <t>28 to 29 May 2019</t>
  </si>
  <si>
    <t>Attendance at South Island Neurosurgery Service Board Meeting</t>
  </si>
  <si>
    <t>12 to 13 June 2019</t>
  </si>
  <si>
    <t>19 to 20 June 2019</t>
  </si>
  <si>
    <t>26 to 27 June 2019</t>
  </si>
  <si>
    <t>Attendance at above meetings</t>
  </si>
  <si>
    <t>Attendance at above meeting</t>
  </si>
  <si>
    <t>Attendance at meeting with Pacific Radiology Group Directors</t>
  </si>
  <si>
    <t>Meals (x4 staff/Commissioners)</t>
  </si>
  <si>
    <t>Meals (x7 staff/Commissoners)</t>
  </si>
  <si>
    <t>Meals (x2 staff/Commissioner)</t>
  </si>
  <si>
    <t>Meals (2x staff/Commissoner)</t>
  </si>
  <si>
    <t>Attendance at meeting at Lumsden Maternity Centre</t>
  </si>
  <si>
    <t>Mileage - Dunedin to Lumsden return</t>
  </si>
  <si>
    <t>Lumsden</t>
  </si>
  <si>
    <t>Attendance at interviews for new staff members</t>
  </si>
  <si>
    <t>Meals (x3 attendees)</t>
  </si>
  <si>
    <t>Meals (x8 staff/Commissioners)</t>
  </si>
  <si>
    <t xml:space="preserve">Shuttle bus to hotel as above </t>
  </si>
  <si>
    <t>Shuttle Bus</t>
  </si>
  <si>
    <t>Dunedin Airport</t>
  </si>
  <si>
    <t>Top-up of Dunedin Airport pre-paid parking card</t>
  </si>
  <si>
    <t>9 to 11 December 2018</t>
  </si>
  <si>
    <t>Invercargill Airport</t>
  </si>
  <si>
    <t>Technology - purchase of USB charger for iPad</t>
  </si>
  <si>
    <t>Meals (food for during stay)</t>
  </si>
  <si>
    <t>Attendance as above</t>
  </si>
  <si>
    <t>Attendance at above course</t>
  </si>
  <si>
    <t>Mileage - Dunedin to Queenstown return</t>
  </si>
  <si>
    <t>Chartered Accountants Australia &amp; NZ - online course costs</t>
  </si>
  <si>
    <t>Course Costs</t>
  </si>
  <si>
    <t>Online</t>
  </si>
  <si>
    <t>Course Costs - Leadership and Innovation in Health course at Monash University</t>
  </si>
  <si>
    <t>Annual Subscription Fee - Chartered Accountants Australia &amp; NZ</t>
  </si>
  <si>
    <t>NZ</t>
  </si>
  <si>
    <t>Telecommunications</t>
  </si>
  <si>
    <t>Mobile phone and data charges</t>
  </si>
  <si>
    <t>1 July 2018 to 30 June 2019</t>
  </si>
  <si>
    <t>Attendance at above meeting/visit</t>
  </si>
  <si>
    <t>Petrol - refilling of rental car</t>
  </si>
  <si>
    <t>1 to 6 July 2018</t>
  </si>
  <si>
    <t>24 to 25 July 2018</t>
  </si>
  <si>
    <t>Airfare - Dunedin to Wellington return</t>
  </si>
  <si>
    <t>Airfares - Dunedin to Wellington and Wellington to Invercargill</t>
  </si>
  <si>
    <t>Wellington/Invercargill</t>
  </si>
  <si>
    <t>Attendance at Wellington and Invercargill meetings as below</t>
  </si>
  <si>
    <t>Airfares - Dunedin to Christchurch return</t>
  </si>
  <si>
    <t xml:space="preserve">Airfares - unrefundable costs </t>
  </si>
  <si>
    <t>Adelaide, Australia</t>
  </si>
  <si>
    <t>Planned attendance at Learning Set Meeting (note: did not attend)</t>
  </si>
  <si>
    <t>Accommodation and Meal</t>
  </si>
  <si>
    <t>28 to 29 August 2018</t>
  </si>
  <si>
    <t>Airfares - Dunedin to Wellington return</t>
  </si>
  <si>
    <t>Accommodation (x5 nights)</t>
  </si>
  <si>
    <t>Accommodation and Meals</t>
  </si>
  <si>
    <t>Accommodation and Meals (x2 nights)</t>
  </si>
  <si>
    <t>Airfares - Invercargill to Christchurch return</t>
  </si>
  <si>
    <t>10 to 11 December 2018</t>
  </si>
  <si>
    <t>Attendance at above</t>
  </si>
  <si>
    <t>Taxi Fares (x5)</t>
  </si>
  <si>
    <t>Accommodation (x7 nights)</t>
  </si>
  <si>
    <t>Accommodation (x2 nights)</t>
  </si>
  <si>
    <t xml:space="preserve">Airfares - Dunedin to Wellington return </t>
  </si>
  <si>
    <t>Rental Car Hire</t>
  </si>
  <si>
    <t>Attendance at above Wellington meetings</t>
  </si>
  <si>
    <t>Attendance at above Invercargill meetings</t>
  </si>
  <si>
    <t>Attendance at above Invercargill meetings and return to Dunedin</t>
  </si>
  <si>
    <t>Accommodation, Meal and Car Parking</t>
  </si>
  <si>
    <t>Airfares - Dunedin to Wellington, Wellington to Brisbane and Brisbane to Dunedin</t>
  </si>
  <si>
    <t>Attendance at Joint Aged Residential Care Steering Group Meeting and then travelling on to Brisbane (see international travel section above for travel costs)</t>
  </si>
  <si>
    <t>Meals (x10 staff/Commissioners)</t>
  </si>
  <si>
    <t>Attendance at meeting with Southland based staff</t>
  </si>
  <si>
    <t>Replacement technology</t>
  </si>
  <si>
    <t>iPad and accessories</t>
  </si>
  <si>
    <t>NZ and Australia</t>
  </si>
  <si>
    <t>25 February to 1 March 2019</t>
  </si>
  <si>
    <t>Learning Set membership</t>
  </si>
  <si>
    <t>Annual Membership Fee</t>
  </si>
  <si>
    <t>Attendance at Learning Set Meeting and Wellington meetings (see Domestic Travel section below)</t>
  </si>
  <si>
    <t>No information to disclose.</t>
  </si>
  <si>
    <t>No information to disclose</t>
  </si>
  <si>
    <t>Presence on the Southland Hospital site as above</t>
  </si>
  <si>
    <t>Presence on the Southland Hospital site as rostered Executive Leadership Team member onsite and return one-day trip to Dunedin for Iwi Governance Committee Meeting</t>
  </si>
  <si>
    <t>Mileage - Dunedin to Invercargill (x2 trips) and Invercargill to Dunedin (x2 trips)</t>
  </si>
  <si>
    <t>Invercargill/Dunedin</t>
  </si>
  <si>
    <t>Attendance at meetings - Joint Aged Residential Care Steering Group Meeting and Aged Residential Care Funding Model Review Group Meeting</t>
  </si>
  <si>
    <t>Attendance at Executive Leadership Team Meeting on the Southland Hospital site and meetings with Southland based staff</t>
  </si>
  <si>
    <t>Attendance at meetings - Home and Community Support Services Joint Working Group Meeting and Nursing Workforce in Aged Residential Care Meeting</t>
  </si>
  <si>
    <t>Attendance at South Island DHBs Alliance meetings - Alliance Leadership Team; South Island DHBs Chairs and Chief Executives; and Chairs of South Island Service Level Alliances and Workstreams Meeting</t>
  </si>
  <si>
    <t>Attendance at meetings - National Forensic Meeting; National DHBs CEOs Meeting; and National DHB Chairs and CEOs Meeting</t>
  </si>
  <si>
    <t>Attendance at staff and community meetings as above and Executive Leadership Team Meeting on the Southland Hospital site</t>
  </si>
  <si>
    <t>Attendance at meetings - interRAI Governance Board Meeting; Office of the Auditor-General; Aged Residential Care Funding Model Review Group Meeting; and Home and Community Support Services Joint Working Group Meeting</t>
  </si>
  <si>
    <t>Attendance at meetings - Home and Community Support Services Devolution Steering Group Meeting and National DHB CEOs Meeting and Workshop</t>
  </si>
  <si>
    <t>Attendance at Southland Staff Service Milestones Celebration; Southern DHB Governance Meeting and presence on the Southland Hospital site as rostered Executive Leadership Team member onsite</t>
  </si>
  <si>
    <t>Attendance at meetings - interRAI Governance Board Meeting and Home and Community Support Services Joint Working Group Meeting</t>
  </si>
  <si>
    <t>Attendance at Executive Leadership Team Meeting on the Southland Hospital site</t>
  </si>
  <si>
    <t>Presence on the Southland Hospital site following the death of a staff member</t>
  </si>
  <si>
    <t>Attendance at meetings - Joint Aged Residential Care Steering Group Meeting and National DHB CEOs Meeting</t>
  </si>
  <si>
    <t>Attendance at Southern DHB Governance Meeting on the Southland Hospital site</t>
  </si>
  <si>
    <t>Mileage - Dunedin to Wanaka return</t>
  </si>
  <si>
    <t>Attendance at meetings - Joint Aged Residential Care Steering Group Meeting; National DHB CEOs Meeting; Joint DHB / Ministry of Health Meeting; and National DHB Chairs and CEOs Meeting</t>
  </si>
  <si>
    <t>Attendance at meetings - Southern DHB / Ministry of Health Monitoring and Integrated Framework Meeting; Home and Community Support Services Joint Working Group Meeting; and attendance at the Health Select Committee</t>
  </si>
  <si>
    <t>Attendance at meetings - meeting with the Ministry of Health and Home and Community Support Services Joint Working Group Meeting</t>
  </si>
  <si>
    <t>Attendance at meetings - community meeting and meeting with local medical centre</t>
  </si>
  <si>
    <t>Attendance at meetings - Joint Aged Residential Care Steering Group Meeting; National DHB Executive Meeting; ACC/DHB Relationship Meeting; and National DHB CEOs Meeting</t>
  </si>
  <si>
    <t>Attendance at meetings - Joint Aged Residential Care Steering Group Meeting; extraordinary meeting of DHB Chairs and CEOs; Health and Community Support Services Joint Working Group meeting; meeting with the Minister of Health; and National DHB CEOs Meeting</t>
  </si>
  <si>
    <t>Attendance at meetings - NZ Aged Care Association Board Meeting; and interRAI Governance Board meeting</t>
  </si>
  <si>
    <t>Attendance at meetings - New Dunedin Hospital Schedule of Accommodation Briefing and Feedback on the Draft Report of the Funding Model Review for Aged Residential Care</t>
  </si>
  <si>
    <t>Attendance at Wellington meetings - National DHB CEOs Meeting; National DHB Chairs and CEOs Meeting; and meeting with Ministry of Health and Aged Residential Care Provider. Attendance at Invercargill meetings - meetings with Southland Hospital staff and 2x presentations to University of the Third Age meetings</t>
  </si>
  <si>
    <t>Attendance at meetings - Executive Leadership Team Meeting on the Southland Hospital site and Southern DHB / WellSouth Primary Health Network Iwi Governance Committee Meeting</t>
  </si>
  <si>
    <t>Attendance at meetings - Lakes District Hospital staff; National Health Caucus Team visit to Lakes District Hospital; and meeting with Central Otago Health Services Ltd Board</t>
  </si>
  <si>
    <t>Attendance at Southern DHB Governance Meeting on the Southland Hospital site and Southland Staff Drop In Session</t>
  </si>
  <si>
    <t>Attendance at meetings - Advisory Board 2019 Executive Roundtable; Ministry of Health and Southern DHB Strategic Conversation Meeting; and National DHB CEOs Meeting</t>
  </si>
  <si>
    <t>Attendance at meetings - interRAI NZ Governance Board Meeting; meeting with Health and Disability Commissioner; and Aged Residential Care Funding Model Review Group Meeting</t>
  </si>
  <si>
    <t>Kathy Grant, Commissioner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</si>
</sst>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abSelected="1" topLeftCell="A37" zoomScale="85" zoomScaleNormal="85" workbookViewId="0">
      <selection activeCell="A51" sqref="A51"/>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C20" sqref="C2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0" t="s">
        <v>98</v>
      </c>
      <c r="B1" s="160"/>
      <c r="C1" s="160"/>
      <c r="D1" s="160"/>
      <c r="E1" s="160"/>
      <c r="F1" s="160"/>
      <c r="G1" s="48"/>
      <c r="H1" s="48"/>
      <c r="I1" s="48"/>
      <c r="J1" s="48"/>
      <c r="K1" s="48"/>
    </row>
    <row r="2" spans="1:11" ht="21" customHeight="1" x14ac:dyDescent="0.2">
      <c r="A2" s="4" t="s">
        <v>2</v>
      </c>
      <c r="B2" s="161" t="s">
        <v>168</v>
      </c>
      <c r="C2" s="161"/>
      <c r="D2" s="161"/>
      <c r="E2" s="161"/>
      <c r="F2" s="161"/>
      <c r="G2" s="48"/>
      <c r="H2" s="48"/>
      <c r="I2" s="48"/>
      <c r="J2" s="48"/>
      <c r="K2" s="48"/>
    </row>
    <row r="3" spans="1:11" ht="21" customHeight="1" x14ac:dyDescent="0.2">
      <c r="A3" s="4" t="s">
        <v>99</v>
      </c>
      <c r="B3" s="161" t="s">
        <v>169</v>
      </c>
      <c r="C3" s="161"/>
      <c r="D3" s="161"/>
      <c r="E3" s="161"/>
      <c r="F3" s="161"/>
      <c r="G3" s="48"/>
      <c r="H3" s="48"/>
      <c r="I3" s="48"/>
      <c r="J3" s="48"/>
      <c r="K3" s="48"/>
    </row>
    <row r="4" spans="1:11" ht="21" customHeight="1" x14ac:dyDescent="0.2">
      <c r="A4" s="4" t="s">
        <v>79</v>
      </c>
      <c r="B4" s="162">
        <v>43282</v>
      </c>
      <c r="C4" s="162"/>
      <c r="D4" s="162"/>
      <c r="E4" s="162"/>
      <c r="F4" s="162"/>
      <c r="G4" s="48"/>
      <c r="H4" s="48"/>
      <c r="I4" s="48"/>
      <c r="J4" s="48"/>
      <c r="K4" s="48"/>
    </row>
    <row r="5" spans="1:11" ht="21" customHeight="1" x14ac:dyDescent="0.2">
      <c r="A5" s="4" t="s">
        <v>80</v>
      </c>
      <c r="B5" s="162">
        <v>43646</v>
      </c>
      <c r="C5" s="162"/>
      <c r="D5" s="162"/>
      <c r="E5" s="162"/>
      <c r="F5" s="162"/>
      <c r="G5" s="48"/>
      <c r="H5" s="48"/>
      <c r="I5" s="48"/>
      <c r="J5" s="48"/>
      <c r="K5" s="48"/>
    </row>
    <row r="6" spans="1:11" ht="21" customHeight="1" x14ac:dyDescent="0.2">
      <c r="A6" s="4" t="s">
        <v>104</v>
      </c>
      <c r="B6" s="159" t="str">
        <f>IF(AND(Travel!B7&lt;&gt;A30,Hospitality!B7&lt;&gt;A30,'All other expenses'!B7&lt;&gt;A30,'Gifts and benefits'!B7&lt;&gt;A30),A31,IF(AND(Travel!B7=A30,Hospitality!B7=A30,'All other expenses'!B7=A30,'Gifts and benefits'!B7=A30),A33,A32))</f>
        <v>Data and totals checked on all sheets</v>
      </c>
      <c r="C6" s="159"/>
      <c r="D6" s="159"/>
      <c r="E6" s="159"/>
      <c r="F6" s="159"/>
      <c r="G6" s="36"/>
      <c r="H6" s="48"/>
      <c r="I6" s="48"/>
      <c r="J6" s="48"/>
      <c r="K6" s="48"/>
    </row>
    <row r="7" spans="1:11" ht="21" customHeight="1" x14ac:dyDescent="0.2">
      <c r="A7" s="4" t="s">
        <v>133</v>
      </c>
      <c r="B7" s="158" t="s">
        <v>63</v>
      </c>
      <c r="C7" s="158"/>
      <c r="D7" s="158"/>
      <c r="E7" s="158"/>
      <c r="F7" s="158"/>
      <c r="G7" s="36"/>
      <c r="H7" s="48"/>
      <c r="I7" s="48"/>
      <c r="J7" s="48"/>
      <c r="K7" s="48"/>
    </row>
    <row r="8" spans="1:11" ht="21" customHeight="1" x14ac:dyDescent="0.2">
      <c r="A8" s="4" t="s">
        <v>100</v>
      </c>
      <c r="B8" s="158" t="s">
        <v>361</v>
      </c>
      <c r="C8" s="158"/>
      <c r="D8" s="158"/>
      <c r="E8" s="158"/>
      <c r="F8" s="158"/>
      <c r="G8" s="36"/>
      <c r="H8" s="48"/>
      <c r="I8" s="48"/>
      <c r="J8" s="48"/>
      <c r="K8" s="48"/>
    </row>
    <row r="9" spans="1:11" ht="66.75" customHeight="1" x14ac:dyDescent="0.2">
      <c r="A9" s="157" t="s">
        <v>125</v>
      </c>
      <c r="B9" s="157"/>
      <c r="C9" s="157"/>
      <c r="D9" s="157"/>
      <c r="E9" s="157"/>
      <c r="F9" s="157"/>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37748.530000000006</v>
      </c>
      <c r="C11" s="107" t="str">
        <f>IF(Travel!B6="",A34,Travel!B6)</f>
        <v>Figures exclude GST</v>
      </c>
      <c r="D11" s="8"/>
      <c r="E11" s="11" t="s">
        <v>95</v>
      </c>
      <c r="F11" s="58">
        <f>'Gifts and benefits'!C16</f>
        <v>0</v>
      </c>
      <c r="G11" s="49"/>
      <c r="H11" s="49"/>
      <c r="I11" s="49"/>
      <c r="J11" s="49"/>
      <c r="K11" s="49"/>
    </row>
    <row r="12" spans="1:11" ht="27.75" customHeight="1" x14ac:dyDescent="0.2">
      <c r="A12" s="11" t="s">
        <v>12</v>
      </c>
      <c r="B12" s="99">
        <f>Hospitality!B16</f>
        <v>0</v>
      </c>
      <c r="C12" s="107" t="str">
        <f>IF(Hospitality!B6="",A34,Hospitality!B6)</f>
        <v>Figures exclude GST</v>
      </c>
      <c r="D12" s="8"/>
      <c r="E12" s="11" t="s">
        <v>96</v>
      </c>
      <c r="F12" s="58">
        <f>'Gifts and benefits'!C17</f>
        <v>0</v>
      </c>
      <c r="G12" s="49"/>
      <c r="H12" s="49"/>
      <c r="I12" s="49"/>
      <c r="J12" s="49"/>
      <c r="K12" s="49"/>
    </row>
    <row r="13" spans="1:11" ht="27.75" customHeight="1" x14ac:dyDescent="0.2">
      <c r="A13" s="11" t="s">
        <v>30</v>
      </c>
      <c r="B13" s="99">
        <f>'All other expenses'!B19</f>
        <v>20120.650000000001</v>
      </c>
      <c r="C13" s="107" t="str">
        <f>IF('All other expenses'!B6="",A34,'All other expenses'!B6)</f>
        <v>Figures exclude GST</v>
      </c>
      <c r="D13" s="8"/>
      <c r="E13" s="11" t="s">
        <v>97</v>
      </c>
      <c r="F13" s="58">
        <f>'Gifts and benefits'!C18</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Travel!B33</f>
        <v>8391.590000000002</v>
      </c>
      <c r="C15" s="109" t="str">
        <f>C11</f>
        <v>Figures exclude GST</v>
      </c>
      <c r="D15" s="8"/>
      <c r="E15" s="8"/>
      <c r="F15" s="60"/>
      <c r="G15" s="48"/>
      <c r="H15" s="48"/>
      <c r="I15" s="48"/>
      <c r="J15" s="48"/>
      <c r="K15" s="48"/>
    </row>
    <row r="16" spans="1:11" ht="27.75" customHeight="1" x14ac:dyDescent="0.2">
      <c r="A16" s="12" t="s">
        <v>91</v>
      </c>
      <c r="B16" s="101">
        <f>Travel!B183</f>
        <v>29122.420000000006</v>
      </c>
      <c r="C16" s="109" t="str">
        <f>C11</f>
        <v>Figures exclude GST</v>
      </c>
      <c r="D16" s="61"/>
      <c r="E16" s="8"/>
      <c r="F16" s="62"/>
      <c r="G16" s="48"/>
      <c r="H16" s="48"/>
      <c r="I16" s="48"/>
      <c r="J16" s="48"/>
      <c r="K16" s="48"/>
    </row>
    <row r="17" spans="1:11" ht="27.75" customHeight="1" x14ac:dyDescent="0.2">
      <c r="A17" s="12" t="s">
        <v>46</v>
      </c>
      <c r="B17" s="101">
        <f>Travel!B193</f>
        <v>234.51999999999998</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COUNT(Travel!B12:B32)</f>
        <v>19</v>
      </c>
      <c r="C54" s="134"/>
      <c r="D54" s="134">
        <f>COUNTIF(Travel!D12:D32,"*")</f>
        <v>19</v>
      </c>
      <c r="E54" s="135"/>
      <c r="F54" s="135" t="b">
        <f>MIN(B54,D54)=MAX(B54,D54)</f>
        <v>1</v>
      </c>
      <c r="G54" s="48"/>
      <c r="H54" s="48"/>
      <c r="I54" s="48"/>
      <c r="J54" s="48"/>
      <c r="K54" s="48"/>
    </row>
    <row r="55" spans="1:11" hidden="1" x14ac:dyDescent="0.2">
      <c r="A55" s="144" t="s">
        <v>111</v>
      </c>
      <c r="B55" s="134">
        <f>COUNT(Travel!B37:B182)</f>
        <v>144</v>
      </c>
      <c r="C55" s="134"/>
      <c r="D55" s="134">
        <f>COUNTIF(Travel!D37:D182,"*")</f>
        <v>144</v>
      </c>
      <c r="E55" s="135"/>
      <c r="F55" s="135" t="b">
        <f>MIN(B55,D55)=MAX(B55,D55)</f>
        <v>1</v>
      </c>
    </row>
    <row r="56" spans="1:11" hidden="1" x14ac:dyDescent="0.2">
      <c r="A56" s="145"/>
      <c r="B56" s="134">
        <f>COUNT(Travel!B187:B192)</f>
        <v>4</v>
      </c>
      <c r="C56" s="134"/>
      <c r="D56" s="134">
        <f>COUNTIF(Travel!D187:D192,"*")</f>
        <v>4</v>
      </c>
      <c r="E56" s="135"/>
      <c r="F56" s="135" t="b">
        <f>MIN(B56,D56)=MAX(B56,D56)</f>
        <v>1</v>
      </c>
    </row>
    <row r="57" spans="1:11" hidden="1" x14ac:dyDescent="0.2">
      <c r="A57" s="146" t="s">
        <v>109</v>
      </c>
      <c r="B57" s="136">
        <f>COUNT(Hospitality!B11:B15)</f>
        <v>0</v>
      </c>
      <c r="C57" s="136"/>
      <c r="D57" s="136">
        <f>COUNTIF(Hospitality!D11:D15,"*")</f>
        <v>0</v>
      </c>
      <c r="E57" s="137"/>
      <c r="F57" s="137" t="b">
        <f>MIN(B57,D57)=MAX(B57,D57)</f>
        <v>1</v>
      </c>
    </row>
    <row r="58" spans="1:11" hidden="1" x14ac:dyDescent="0.2">
      <c r="A58" s="147" t="s">
        <v>110</v>
      </c>
      <c r="B58" s="135">
        <f>COUNT('All other expenses'!B11:B18)</f>
        <v>6</v>
      </c>
      <c r="C58" s="135"/>
      <c r="D58" s="135">
        <f>COUNTIF('All other expenses'!D11:D18,"*")</f>
        <v>6</v>
      </c>
      <c r="E58" s="135"/>
      <c r="F58" s="135" t="b">
        <f>MIN(B58,D58)=MAX(B58,D58)</f>
        <v>1</v>
      </c>
    </row>
    <row r="59" spans="1:11" hidden="1" x14ac:dyDescent="0.2">
      <c r="A59" s="146" t="s">
        <v>108</v>
      </c>
      <c r="B59" s="136">
        <f>COUNTIF('Gifts and benefits'!B11:B15,"*")</f>
        <v>0</v>
      </c>
      <c r="C59" s="136">
        <f>COUNTIF('Gifts and benefits'!C11:C15,"*")</f>
        <v>0</v>
      </c>
      <c r="D59" s="136"/>
      <c r="E59" s="136">
        <f>COUNTA('Gifts and benefits'!E11:E15)</f>
        <v>0</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90"/>
  <sheetViews>
    <sheetView zoomScaleNormal="100" workbookViewId="0">
      <selection activeCell="A8" sqref="A8:E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0" t="s">
        <v>6</v>
      </c>
      <c r="B1" s="160"/>
      <c r="C1" s="160"/>
      <c r="D1" s="160"/>
      <c r="E1" s="160"/>
      <c r="F1" s="48"/>
    </row>
    <row r="2" spans="1:6" ht="21" customHeight="1" x14ac:dyDescent="0.2">
      <c r="A2" s="4" t="s">
        <v>2</v>
      </c>
      <c r="B2" s="163" t="str">
        <f>'Summary and sign-off'!B2:F2</f>
        <v>Southern District Health Board</v>
      </c>
      <c r="C2" s="163"/>
      <c r="D2" s="163"/>
      <c r="E2" s="163"/>
      <c r="F2" s="48"/>
    </row>
    <row r="3" spans="1:6" ht="21" customHeight="1" x14ac:dyDescent="0.2">
      <c r="A3" s="4" t="s">
        <v>3</v>
      </c>
      <c r="B3" s="163" t="str">
        <f>'Summary and sign-off'!B3:F3</f>
        <v>Chris Fleming</v>
      </c>
      <c r="C3" s="163"/>
      <c r="D3" s="163"/>
      <c r="E3" s="163"/>
      <c r="F3" s="48"/>
    </row>
    <row r="4" spans="1:6" ht="21" customHeight="1" x14ac:dyDescent="0.2">
      <c r="A4" s="4" t="s">
        <v>77</v>
      </c>
      <c r="B4" s="163">
        <f>'Summary and sign-off'!B4:F4</f>
        <v>43282</v>
      </c>
      <c r="C4" s="163"/>
      <c r="D4" s="163"/>
      <c r="E4" s="163"/>
      <c r="F4" s="48"/>
    </row>
    <row r="5" spans="1:6" ht="21" customHeight="1" x14ac:dyDescent="0.2">
      <c r="A5" s="4" t="s">
        <v>78</v>
      </c>
      <c r="B5" s="163">
        <f>'Summary and sign-off'!B5:F5</f>
        <v>43646</v>
      </c>
      <c r="C5" s="163"/>
      <c r="D5" s="163"/>
      <c r="E5" s="163"/>
      <c r="F5" s="48"/>
    </row>
    <row r="6" spans="1:6" ht="21" customHeight="1" x14ac:dyDescent="0.2">
      <c r="A6" s="4" t="s">
        <v>29</v>
      </c>
      <c r="B6" s="158" t="s">
        <v>28</v>
      </c>
      <c r="C6" s="158"/>
      <c r="D6" s="158"/>
      <c r="E6" s="158"/>
      <c r="F6" s="48"/>
    </row>
    <row r="7" spans="1:6" ht="21" customHeight="1" x14ac:dyDescent="0.2">
      <c r="A7" s="4" t="s">
        <v>104</v>
      </c>
      <c r="B7" s="158" t="s">
        <v>116</v>
      </c>
      <c r="C7" s="158"/>
      <c r="D7" s="158"/>
      <c r="E7" s="158"/>
      <c r="F7" s="48"/>
    </row>
    <row r="8" spans="1:6" ht="36" customHeight="1" x14ac:dyDescent="0.2">
      <c r="A8" s="166" t="s">
        <v>4</v>
      </c>
      <c r="B8" s="167"/>
      <c r="C8" s="167"/>
      <c r="D8" s="167"/>
      <c r="E8" s="167"/>
      <c r="F8" s="24"/>
    </row>
    <row r="9" spans="1:6" ht="36" customHeight="1" x14ac:dyDescent="0.2">
      <c r="A9" s="168" t="s">
        <v>142</v>
      </c>
      <c r="B9" s="169"/>
      <c r="C9" s="169"/>
      <c r="D9" s="169"/>
      <c r="E9" s="169"/>
      <c r="F9" s="24"/>
    </row>
    <row r="10" spans="1:6" ht="24.75" customHeight="1" x14ac:dyDescent="0.2">
      <c r="A10" s="165" t="s">
        <v>143</v>
      </c>
      <c r="B10" s="170"/>
      <c r="C10" s="165"/>
      <c r="D10" s="165"/>
      <c r="E10" s="165"/>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v>43327</v>
      </c>
      <c r="B13" s="111">
        <v>191.5</v>
      </c>
      <c r="C13" s="112" t="s">
        <v>296</v>
      </c>
      <c r="D13" s="112" t="s">
        <v>294</v>
      </c>
      <c r="E13" s="113" t="s">
        <v>295</v>
      </c>
      <c r="F13" s="1"/>
    </row>
    <row r="14" spans="1:6" s="89" customFormat="1" x14ac:dyDescent="0.2">
      <c r="A14" s="156" t="s">
        <v>212</v>
      </c>
      <c r="B14" s="111">
        <v>1204.25</v>
      </c>
      <c r="C14" s="112" t="s">
        <v>213</v>
      </c>
      <c r="D14" s="112" t="s">
        <v>246</v>
      </c>
      <c r="E14" s="113" t="s">
        <v>211</v>
      </c>
      <c r="F14" s="1"/>
    </row>
    <row r="15" spans="1:6" s="89" customFormat="1" x14ac:dyDescent="0.2">
      <c r="A15" s="156" t="s">
        <v>212</v>
      </c>
      <c r="B15" s="111">
        <v>535.79999999999995</v>
      </c>
      <c r="C15" s="112" t="s">
        <v>253</v>
      </c>
      <c r="D15" s="112" t="s">
        <v>308</v>
      </c>
      <c r="E15" s="113" t="s">
        <v>211</v>
      </c>
      <c r="F15" s="1"/>
    </row>
    <row r="16" spans="1:6" s="89" customFormat="1" x14ac:dyDescent="0.2">
      <c r="A16" s="156" t="s">
        <v>212</v>
      </c>
      <c r="B16" s="111">
        <f>67.49+41.23</f>
        <v>108.72</v>
      </c>
      <c r="C16" s="112" t="s">
        <v>253</v>
      </c>
      <c r="D16" s="112" t="s">
        <v>173</v>
      </c>
      <c r="E16" s="113" t="s">
        <v>211</v>
      </c>
      <c r="F16" s="1"/>
    </row>
    <row r="17" spans="1:6" s="89" customFormat="1" x14ac:dyDescent="0.2">
      <c r="A17" s="156">
        <v>43436</v>
      </c>
      <c r="B17" s="111">
        <v>32.83</v>
      </c>
      <c r="C17" s="112" t="s">
        <v>253</v>
      </c>
      <c r="D17" s="112" t="s">
        <v>196</v>
      </c>
      <c r="E17" s="113" t="s">
        <v>211</v>
      </c>
      <c r="F17" s="1"/>
    </row>
    <row r="18" spans="1:6" s="89" customFormat="1" x14ac:dyDescent="0.2">
      <c r="A18" s="156" t="s">
        <v>228</v>
      </c>
      <c r="B18" s="111">
        <v>1438.03</v>
      </c>
      <c r="C18" s="112" t="s">
        <v>229</v>
      </c>
      <c r="D18" s="112" t="s">
        <v>231</v>
      </c>
      <c r="E18" s="113" t="s">
        <v>230</v>
      </c>
      <c r="F18" s="1"/>
    </row>
    <row r="19" spans="1:6" s="89" customFormat="1" x14ac:dyDescent="0.2">
      <c r="A19" s="156" t="s">
        <v>228</v>
      </c>
      <c r="B19" s="111">
        <v>1958.93</v>
      </c>
      <c r="C19" s="112" t="s">
        <v>274</v>
      </c>
      <c r="D19" s="112" t="s">
        <v>307</v>
      </c>
      <c r="E19" s="113" t="s">
        <v>230</v>
      </c>
      <c r="F19" s="1"/>
    </row>
    <row r="20" spans="1:6" s="89" customFormat="1" x14ac:dyDescent="0.2">
      <c r="A20" s="156" t="s">
        <v>228</v>
      </c>
      <c r="B20" s="111">
        <f>134.91+35.7+134.78</f>
        <v>305.39</v>
      </c>
      <c r="C20" s="112" t="s">
        <v>274</v>
      </c>
      <c r="D20" s="112" t="s">
        <v>175</v>
      </c>
      <c r="E20" s="113" t="s">
        <v>230</v>
      </c>
      <c r="F20" s="1"/>
    </row>
    <row r="21" spans="1:6" s="89" customFormat="1" x14ac:dyDescent="0.2">
      <c r="A21" s="156">
        <v>43519</v>
      </c>
      <c r="B21" s="111">
        <v>45.74</v>
      </c>
      <c r="C21" s="112" t="s">
        <v>274</v>
      </c>
      <c r="D21" s="112" t="s">
        <v>272</v>
      </c>
      <c r="E21" s="113" t="s">
        <v>230</v>
      </c>
      <c r="F21" s="1"/>
    </row>
    <row r="22" spans="1:6" s="89" customFormat="1" x14ac:dyDescent="0.2">
      <c r="A22" s="156">
        <v>43520</v>
      </c>
      <c r="B22" s="111">
        <v>71.58</v>
      </c>
      <c r="C22" s="112" t="s">
        <v>274</v>
      </c>
      <c r="D22" s="112" t="s">
        <v>271</v>
      </c>
      <c r="E22" s="113" t="s">
        <v>230</v>
      </c>
      <c r="F22" s="1"/>
    </row>
    <row r="23" spans="1:6" s="89" customFormat="1" ht="12.75" customHeight="1" x14ac:dyDescent="0.2">
      <c r="A23" s="156">
        <v>43522</v>
      </c>
      <c r="B23" s="111">
        <v>19.3</v>
      </c>
      <c r="C23" s="112" t="s">
        <v>274</v>
      </c>
      <c r="D23" s="112" t="s">
        <v>196</v>
      </c>
      <c r="E23" s="113" t="s">
        <v>230</v>
      </c>
      <c r="F23" s="1"/>
    </row>
    <row r="24" spans="1:6" s="89" customFormat="1" ht="12.75" customHeight="1" x14ac:dyDescent="0.2">
      <c r="A24" s="156">
        <v>43523</v>
      </c>
      <c r="B24" s="111">
        <v>33.93</v>
      </c>
      <c r="C24" s="112" t="s">
        <v>274</v>
      </c>
      <c r="D24" s="112" t="s">
        <v>272</v>
      </c>
      <c r="E24" s="113" t="s">
        <v>230</v>
      </c>
      <c r="F24" s="1"/>
    </row>
    <row r="25" spans="1:6" s="89" customFormat="1" ht="12.75" customHeight="1" x14ac:dyDescent="0.2">
      <c r="A25" s="156">
        <v>43525</v>
      </c>
      <c r="B25" s="111">
        <v>31.2</v>
      </c>
      <c r="C25" s="112" t="s">
        <v>274</v>
      </c>
      <c r="D25" s="112" t="s">
        <v>196</v>
      </c>
      <c r="E25" s="113" t="s">
        <v>230</v>
      </c>
      <c r="F25" s="1"/>
    </row>
    <row r="26" spans="1:6" s="89" customFormat="1" ht="25.5" x14ac:dyDescent="0.2">
      <c r="A26" s="156" t="s">
        <v>242</v>
      </c>
      <c r="B26" s="111">
        <v>1205.3900000000001</v>
      </c>
      <c r="C26" s="112" t="s">
        <v>325</v>
      </c>
      <c r="D26" s="112" t="s">
        <v>315</v>
      </c>
      <c r="E26" s="113" t="s">
        <v>243</v>
      </c>
      <c r="F26" s="1"/>
    </row>
    <row r="27" spans="1:6" s="89" customFormat="1" ht="12.75" customHeight="1" x14ac:dyDescent="0.2">
      <c r="A27" s="156" t="s">
        <v>242</v>
      </c>
      <c r="B27" s="111">
        <v>959.93</v>
      </c>
      <c r="C27" s="112" t="s">
        <v>253</v>
      </c>
      <c r="D27" s="112" t="s">
        <v>202</v>
      </c>
      <c r="E27" s="113" t="s">
        <v>243</v>
      </c>
      <c r="F27" s="1"/>
    </row>
    <row r="28" spans="1:6" s="89" customFormat="1" ht="12.75" customHeight="1" x14ac:dyDescent="0.2">
      <c r="A28" s="156" t="s">
        <v>242</v>
      </c>
      <c r="B28" s="111">
        <f>60.9+17.38+43.57</f>
        <v>121.85</v>
      </c>
      <c r="C28" s="112" t="s">
        <v>253</v>
      </c>
      <c r="D28" s="112" t="s">
        <v>175</v>
      </c>
      <c r="E28" s="113" t="s">
        <v>243</v>
      </c>
      <c r="F28" s="1"/>
    </row>
    <row r="29" spans="1:6" s="89" customFormat="1" ht="12.75" customHeight="1" x14ac:dyDescent="0.2">
      <c r="A29" s="156">
        <v>43607</v>
      </c>
      <c r="B29" s="111">
        <v>32.1</v>
      </c>
      <c r="C29" s="112" t="s">
        <v>253</v>
      </c>
      <c r="D29" s="112" t="s">
        <v>272</v>
      </c>
      <c r="E29" s="113" t="s">
        <v>243</v>
      </c>
      <c r="F29" s="1"/>
    </row>
    <row r="30" spans="1:6" s="89" customFormat="1" ht="12.75" customHeight="1" x14ac:dyDescent="0.2">
      <c r="A30" s="156">
        <v>43608</v>
      </c>
      <c r="B30" s="111">
        <v>47.6</v>
      </c>
      <c r="C30" s="112" t="s">
        <v>253</v>
      </c>
      <c r="D30" s="112" t="s">
        <v>196</v>
      </c>
      <c r="E30" s="113" t="s">
        <v>243</v>
      </c>
      <c r="F30" s="1"/>
    </row>
    <row r="31" spans="1:6" s="89" customFormat="1" ht="12.75" customHeight="1" x14ac:dyDescent="0.2">
      <c r="A31" s="156">
        <v>43609</v>
      </c>
      <c r="B31" s="111">
        <v>47.52</v>
      </c>
      <c r="C31" s="112" t="s">
        <v>253</v>
      </c>
      <c r="D31" s="112" t="s">
        <v>196</v>
      </c>
      <c r="E31" s="113" t="s">
        <v>243</v>
      </c>
      <c r="F31" s="1"/>
    </row>
    <row r="32" spans="1:6" s="89" customFormat="1" hidden="1" x14ac:dyDescent="0.2">
      <c r="A32" s="124"/>
      <c r="B32" s="125"/>
      <c r="C32" s="126"/>
      <c r="D32" s="126"/>
      <c r="E32" s="127"/>
      <c r="F32" s="1"/>
    </row>
    <row r="33" spans="1:6" ht="19.5" customHeight="1" x14ac:dyDescent="0.2">
      <c r="A33" s="128" t="s">
        <v>154</v>
      </c>
      <c r="B33" s="129">
        <f>SUM(B12:B32)</f>
        <v>8391.590000000002</v>
      </c>
      <c r="C33" s="130" t="str">
        <f>IF(SUBTOTAL(3,B12:B32)=SUBTOTAL(103,B12:B32),'Summary and sign-off'!$A$47,'Summary and sign-off'!$A$48)</f>
        <v>Check - there are no hidden rows with data</v>
      </c>
      <c r="D33" s="164" t="str">
        <f>IF('Summary and sign-off'!F54='Summary and sign-off'!F53,'Summary and sign-off'!A50,'Summary and sign-off'!A49)</f>
        <v>Check - each entry provides sufficient information</v>
      </c>
      <c r="E33" s="164"/>
      <c r="F33" s="48"/>
    </row>
    <row r="34" spans="1:6" ht="10.5" customHeight="1" x14ac:dyDescent="0.2">
      <c r="A34" s="29"/>
      <c r="B34" s="24"/>
      <c r="C34" s="29"/>
      <c r="D34" s="29"/>
      <c r="E34" s="29"/>
      <c r="F34" s="29"/>
    </row>
    <row r="35" spans="1:6" ht="24.75" customHeight="1" x14ac:dyDescent="0.2">
      <c r="A35" s="165" t="s">
        <v>92</v>
      </c>
      <c r="B35" s="165"/>
      <c r="C35" s="165"/>
      <c r="D35" s="165"/>
      <c r="E35" s="165"/>
      <c r="F35" s="49"/>
    </row>
    <row r="36" spans="1:6" ht="27" customHeight="1" x14ac:dyDescent="0.2">
      <c r="A36" s="37" t="s">
        <v>49</v>
      </c>
      <c r="B36" s="37" t="s">
        <v>31</v>
      </c>
      <c r="C36" s="37" t="s">
        <v>146</v>
      </c>
      <c r="D36" s="37" t="s">
        <v>102</v>
      </c>
      <c r="E36" s="37" t="s">
        <v>76</v>
      </c>
      <c r="F36" s="50"/>
    </row>
    <row r="37" spans="1:6" s="89" customFormat="1" hidden="1" x14ac:dyDescent="0.2">
      <c r="A37" s="114"/>
      <c r="B37" s="111"/>
      <c r="C37" s="112"/>
      <c r="D37" s="112"/>
      <c r="E37" s="113"/>
      <c r="F37" s="1"/>
    </row>
    <row r="38" spans="1:6" s="89" customFormat="1" ht="38.25" x14ac:dyDescent="0.2">
      <c r="A38" s="156" t="s">
        <v>287</v>
      </c>
      <c r="B38" s="111">
        <f>153.3+306.6</f>
        <v>459.90000000000003</v>
      </c>
      <c r="C38" s="112" t="s">
        <v>329</v>
      </c>
      <c r="D38" s="112" t="s">
        <v>330</v>
      </c>
      <c r="E38" s="113" t="s">
        <v>331</v>
      </c>
      <c r="F38" s="1"/>
    </row>
    <row r="39" spans="1:6" s="89" customFormat="1" x14ac:dyDescent="0.2">
      <c r="A39" s="156" t="s">
        <v>287</v>
      </c>
      <c r="B39" s="111">
        <v>769.83</v>
      </c>
      <c r="C39" s="112" t="s">
        <v>328</v>
      </c>
      <c r="D39" s="112" t="s">
        <v>300</v>
      </c>
      <c r="E39" s="113" t="s">
        <v>171</v>
      </c>
      <c r="F39" s="1"/>
    </row>
    <row r="40" spans="1:6" s="89" customFormat="1" x14ac:dyDescent="0.2">
      <c r="A40" s="114">
        <v>43301</v>
      </c>
      <c r="B40" s="111">
        <v>86.96</v>
      </c>
      <c r="C40" s="112" t="s">
        <v>268</v>
      </c>
      <c r="D40" s="112" t="s">
        <v>189</v>
      </c>
      <c r="E40" s="113" t="s">
        <v>267</v>
      </c>
      <c r="F40" s="1"/>
    </row>
    <row r="41" spans="1:6" s="89" customFormat="1" ht="25.5" x14ac:dyDescent="0.2">
      <c r="A41" s="114">
        <v>43301</v>
      </c>
      <c r="B41" s="111">
        <v>490.09</v>
      </c>
      <c r="C41" s="112" t="s">
        <v>174</v>
      </c>
      <c r="D41" s="112" t="s">
        <v>299</v>
      </c>
      <c r="E41" s="113" t="s">
        <v>170</v>
      </c>
      <c r="F41" s="1"/>
    </row>
    <row r="42" spans="1:6" s="89" customFormat="1" x14ac:dyDescent="0.2">
      <c r="A42" s="156">
        <v>43301</v>
      </c>
      <c r="B42" s="111">
        <f>26.17+27.57</f>
        <v>53.74</v>
      </c>
      <c r="C42" s="112" t="s">
        <v>253</v>
      </c>
      <c r="D42" s="112" t="s">
        <v>173</v>
      </c>
      <c r="E42" s="113" t="s">
        <v>170</v>
      </c>
      <c r="F42" s="1"/>
    </row>
    <row r="43" spans="1:6" s="89" customFormat="1" x14ac:dyDescent="0.2">
      <c r="A43" s="156" t="s">
        <v>197</v>
      </c>
      <c r="B43" s="111">
        <v>547.20000000000005</v>
      </c>
      <c r="C43" s="112" t="s">
        <v>198</v>
      </c>
      <c r="D43" s="112" t="s">
        <v>178</v>
      </c>
      <c r="E43" s="113" t="s">
        <v>200</v>
      </c>
      <c r="F43" s="1"/>
    </row>
    <row r="44" spans="1:6" s="89" customFormat="1" ht="25.5" x14ac:dyDescent="0.2">
      <c r="A44" s="156" t="s">
        <v>288</v>
      </c>
      <c r="B44" s="111">
        <v>211.11</v>
      </c>
      <c r="C44" s="112" t="s">
        <v>201</v>
      </c>
      <c r="D44" s="112" t="s">
        <v>297</v>
      </c>
      <c r="E44" s="113" t="s">
        <v>190</v>
      </c>
      <c r="F44" s="1"/>
    </row>
    <row r="45" spans="1:6" s="89" customFormat="1" x14ac:dyDescent="0.2">
      <c r="A45" s="156">
        <v>43306</v>
      </c>
      <c r="B45" s="111">
        <v>10.43</v>
      </c>
      <c r="C45" s="112" t="s">
        <v>191</v>
      </c>
      <c r="D45" s="112" t="s">
        <v>189</v>
      </c>
      <c r="E45" s="113" t="s">
        <v>190</v>
      </c>
      <c r="F45" s="1"/>
    </row>
    <row r="46" spans="1:6" s="89" customFormat="1" x14ac:dyDescent="0.2">
      <c r="A46" s="156">
        <v>43306</v>
      </c>
      <c r="B46" s="111">
        <v>211.13</v>
      </c>
      <c r="C46" s="112" t="s">
        <v>199</v>
      </c>
      <c r="D46" s="112" t="s">
        <v>256</v>
      </c>
      <c r="E46" s="113" t="s">
        <v>171</v>
      </c>
      <c r="F46" s="1"/>
    </row>
    <row r="47" spans="1:6" s="89" customFormat="1" x14ac:dyDescent="0.2">
      <c r="A47" s="156">
        <v>43306</v>
      </c>
      <c r="B47" s="111">
        <v>139.04</v>
      </c>
      <c r="C47" s="112" t="s">
        <v>252</v>
      </c>
      <c r="D47" s="112" t="s">
        <v>202</v>
      </c>
      <c r="E47" s="113" t="s">
        <v>171</v>
      </c>
      <c r="F47" s="1"/>
    </row>
    <row r="48" spans="1:6" s="89" customFormat="1" ht="25.5" x14ac:dyDescent="0.2">
      <c r="A48" s="156">
        <v>43313</v>
      </c>
      <c r="B48" s="111">
        <v>447.32</v>
      </c>
      <c r="C48" s="112" t="s">
        <v>292</v>
      </c>
      <c r="D48" s="112" t="s">
        <v>290</v>
      </c>
      <c r="E48" s="113" t="s">
        <v>291</v>
      </c>
      <c r="F48" s="1"/>
    </row>
    <row r="49" spans="1:6" s="89" customFormat="1" ht="25.5" x14ac:dyDescent="0.2">
      <c r="A49" s="156">
        <v>43313</v>
      </c>
      <c r="B49" s="111">
        <f>36.43+11.22</f>
        <v>47.65</v>
      </c>
      <c r="C49" s="112" t="s">
        <v>332</v>
      </c>
      <c r="D49" s="112" t="s">
        <v>173</v>
      </c>
      <c r="E49" s="113" t="s">
        <v>170</v>
      </c>
      <c r="F49" s="1"/>
    </row>
    <row r="50" spans="1:6" s="89" customFormat="1" ht="25.5" x14ac:dyDescent="0.2">
      <c r="A50" s="156">
        <v>43313</v>
      </c>
      <c r="B50" s="111">
        <v>13.04</v>
      </c>
      <c r="C50" s="112" t="s">
        <v>333</v>
      </c>
      <c r="D50" s="112" t="s">
        <v>176</v>
      </c>
      <c r="E50" s="113" t="s">
        <v>171</v>
      </c>
      <c r="F50" s="1"/>
    </row>
    <row r="51" spans="1:6" s="89" customFormat="1" x14ac:dyDescent="0.2">
      <c r="A51" s="156">
        <v>43313</v>
      </c>
      <c r="B51" s="111">
        <v>116.87</v>
      </c>
      <c r="C51" s="112" t="s">
        <v>252</v>
      </c>
      <c r="D51" s="112" t="s">
        <v>297</v>
      </c>
      <c r="E51" s="113" t="s">
        <v>171</v>
      </c>
      <c r="F51" s="1"/>
    </row>
    <row r="52" spans="1:6" s="89" customFormat="1" x14ac:dyDescent="0.2">
      <c r="A52" s="156">
        <v>43315</v>
      </c>
      <c r="B52" s="111">
        <v>43.48</v>
      </c>
      <c r="C52" s="112" t="s">
        <v>268</v>
      </c>
      <c r="D52" s="112" t="s">
        <v>189</v>
      </c>
      <c r="E52" s="113" t="s">
        <v>267</v>
      </c>
      <c r="F52" s="1"/>
    </row>
    <row r="53" spans="1:6" s="89" customFormat="1" x14ac:dyDescent="0.2">
      <c r="A53" s="156">
        <v>43321</v>
      </c>
      <c r="B53" s="111">
        <v>322.24</v>
      </c>
      <c r="C53" s="112" t="s">
        <v>259</v>
      </c>
      <c r="D53" s="112" t="s">
        <v>260</v>
      </c>
      <c r="E53" s="113" t="s">
        <v>261</v>
      </c>
      <c r="F53" s="1"/>
    </row>
    <row r="54" spans="1:6" s="89" customFormat="1" ht="38.25" x14ac:dyDescent="0.2">
      <c r="A54" s="156">
        <v>43325</v>
      </c>
      <c r="B54" s="111">
        <v>326.08</v>
      </c>
      <c r="C54" s="112" t="s">
        <v>335</v>
      </c>
      <c r="D54" s="112" t="s">
        <v>293</v>
      </c>
      <c r="E54" s="113" t="s">
        <v>172</v>
      </c>
      <c r="F54" s="1"/>
    </row>
    <row r="55" spans="1:6" s="89" customFormat="1" x14ac:dyDescent="0.2">
      <c r="A55" s="156">
        <v>43325</v>
      </c>
      <c r="B55" s="111">
        <v>100.43</v>
      </c>
      <c r="C55" s="112" t="s">
        <v>252</v>
      </c>
      <c r="D55" s="112" t="s">
        <v>257</v>
      </c>
      <c r="E55" s="113" t="s">
        <v>172</v>
      </c>
      <c r="F55" s="1"/>
    </row>
    <row r="56" spans="1:6" s="89" customFormat="1" ht="25.5" x14ac:dyDescent="0.2">
      <c r="A56" s="156">
        <v>43329</v>
      </c>
      <c r="B56" s="111">
        <v>297.92</v>
      </c>
      <c r="C56" s="112" t="s">
        <v>203</v>
      </c>
      <c r="D56" s="112" t="s">
        <v>181</v>
      </c>
      <c r="E56" s="113" t="s">
        <v>182</v>
      </c>
      <c r="F56" s="1"/>
    </row>
    <row r="57" spans="1:6" s="89" customFormat="1" ht="25.5" x14ac:dyDescent="0.2">
      <c r="A57" s="156" t="s">
        <v>204</v>
      </c>
      <c r="B57" s="111">
        <v>311.60000000000002</v>
      </c>
      <c r="C57" s="112" t="s">
        <v>224</v>
      </c>
      <c r="D57" s="112" t="s">
        <v>183</v>
      </c>
      <c r="E57" s="113" t="s">
        <v>171</v>
      </c>
      <c r="F57" s="1"/>
    </row>
    <row r="58" spans="1:6" s="89" customFormat="1" x14ac:dyDescent="0.2">
      <c r="A58" s="156">
        <v>43331</v>
      </c>
      <c r="B58" s="111">
        <v>139.37</v>
      </c>
      <c r="C58" s="112" t="s">
        <v>328</v>
      </c>
      <c r="D58" s="112" t="s">
        <v>297</v>
      </c>
      <c r="E58" s="113" t="s">
        <v>171</v>
      </c>
      <c r="F58" s="1"/>
    </row>
    <row r="59" spans="1:6" s="89" customFormat="1" x14ac:dyDescent="0.2">
      <c r="A59" s="156">
        <v>43331</v>
      </c>
      <c r="B59" s="111">
        <v>24.26</v>
      </c>
      <c r="C59" s="112" t="s">
        <v>328</v>
      </c>
      <c r="D59" s="112" t="s">
        <v>196</v>
      </c>
      <c r="E59" s="113" t="s">
        <v>171</v>
      </c>
      <c r="F59" s="1"/>
    </row>
    <row r="60" spans="1:6" s="89" customFormat="1" ht="25.5" x14ac:dyDescent="0.2">
      <c r="A60" s="156" t="s">
        <v>298</v>
      </c>
      <c r="B60" s="111">
        <v>292.68</v>
      </c>
      <c r="C60" s="112" t="s">
        <v>334</v>
      </c>
      <c r="D60" s="112" t="s">
        <v>299</v>
      </c>
      <c r="E60" s="113" t="s">
        <v>170</v>
      </c>
      <c r="F60" s="1"/>
    </row>
    <row r="61" spans="1:6" s="89" customFormat="1" ht="25.5" x14ac:dyDescent="0.2">
      <c r="A61" s="156" t="s">
        <v>206</v>
      </c>
      <c r="B61" s="111">
        <v>444.33</v>
      </c>
      <c r="C61" s="112" t="s">
        <v>336</v>
      </c>
      <c r="D61" s="112" t="s">
        <v>299</v>
      </c>
      <c r="E61" s="113" t="s">
        <v>170</v>
      </c>
      <c r="F61" s="1"/>
    </row>
    <row r="62" spans="1:6" s="89" customFormat="1" x14ac:dyDescent="0.2">
      <c r="A62" s="156" t="s">
        <v>206</v>
      </c>
      <c r="B62" s="111">
        <v>230.72</v>
      </c>
      <c r="C62" s="112" t="s">
        <v>252</v>
      </c>
      <c r="D62" s="112" t="s">
        <v>202</v>
      </c>
      <c r="E62" s="113" t="s">
        <v>170</v>
      </c>
      <c r="F62" s="1"/>
    </row>
    <row r="63" spans="1:6" s="89" customFormat="1" x14ac:dyDescent="0.2">
      <c r="A63" s="156" t="s">
        <v>206</v>
      </c>
      <c r="B63" s="111">
        <f>24.96+45.65</f>
        <v>70.61</v>
      </c>
      <c r="C63" s="112" t="s">
        <v>252</v>
      </c>
      <c r="D63" s="112" t="s">
        <v>173</v>
      </c>
      <c r="E63" s="113" t="s">
        <v>170</v>
      </c>
      <c r="F63" s="1"/>
    </row>
    <row r="64" spans="1:6" s="89" customFormat="1" x14ac:dyDescent="0.2">
      <c r="A64" s="156">
        <v>43355</v>
      </c>
      <c r="B64" s="111">
        <v>26.7</v>
      </c>
      <c r="C64" s="112" t="s">
        <v>252</v>
      </c>
      <c r="D64" s="112" t="s">
        <v>196</v>
      </c>
      <c r="E64" s="113" t="s">
        <v>170</v>
      </c>
      <c r="F64" s="1"/>
    </row>
    <row r="65" spans="1:6" s="89" customFormat="1" x14ac:dyDescent="0.2">
      <c r="A65" s="156">
        <v>43356</v>
      </c>
      <c r="B65" s="111">
        <v>37.39</v>
      </c>
      <c r="C65" s="112" t="s">
        <v>252</v>
      </c>
      <c r="D65" s="112" t="s">
        <v>258</v>
      </c>
      <c r="E65" s="113" t="s">
        <v>170</v>
      </c>
      <c r="F65" s="1"/>
    </row>
    <row r="66" spans="1:6" s="89" customFormat="1" x14ac:dyDescent="0.2">
      <c r="A66" s="156">
        <v>43369</v>
      </c>
      <c r="B66" s="111">
        <v>86.96</v>
      </c>
      <c r="C66" s="112" t="s">
        <v>268</v>
      </c>
      <c r="D66" s="112" t="s">
        <v>189</v>
      </c>
      <c r="E66" s="113" t="s">
        <v>267</v>
      </c>
      <c r="F66" s="1"/>
    </row>
    <row r="67" spans="1:6" s="89" customFormat="1" ht="25.5" x14ac:dyDescent="0.2">
      <c r="A67" s="156">
        <v>43369</v>
      </c>
      <c r="B67" s="111">
        <v>305.18</v>
      </c>
      <c r="C67" s="112" t="s">
        <v>332</v>
      </c>
      <c r="D67" s="112" t="s">
        <v>299</v>
      </c>
      <c r="E67" s="113" t="s">
        <v>170</v>
      </c>
      <c r="F67" s="1"/>
    </row>
    <row r="68" spans="1:6" s="89" customFormat="1" x14ac:dyDescent="0.2">
      <c r="A68" s="156">
        <v>43369</v>
      </c>
      <c r="B68" s="111">
        <f>34.78+30.43+13.3</f>
        <v>78.510000000000005</v>
      </c>
      <c r="C68" s="112" t="s">
        <v>252</v>
      </c>
      <c r="D68" s="112" t="s">
        <v>175</v>
      </c>
      <c r="E68" s="113" t="s">
        <v>170</v>
      </c>
      <c r="F68" s="1"/>
    </row>
    <row r="69" spans="1:6" s="89" customFormat="1" x14ac:dyDescent="0.2">
      <c r="A69" s="156">
        <v>43374</v>
      </c>
      <c r="B69" s="111">
        <v>472.49</v>
      </c>
      <c r="C69" s="112" t="s">
        <v>207</v>
      </c>
      <c r="D69" s="112" t="s">
        <v>289</v>
      </c>
      <c r="E69" s="113" t="s">
        <v>170</v>
      </c>
      <c r="F69" s="1"/>
    </row>
    <row r="70" spans="1:6" s="89" customFormat="1" ht="51" x14ac:dyDescent="0.2">
      <c r="A70" s="156" t="s">
        <v>184</v>
      </c>
      <c r="B70" s="111">
        <v>755.44</v>
      </c>
      <c r="C70" s="112" t="s">
        <v>194</v>
      </c>
      <c r="D70" s="112" t="s">
        <v>186</v>
      </c>
      <c r="E70" s="113" t="s">
        <v>187</v>
      </c>
      <c r="F70" s="1"/>
    </row>
    <row r="71" spans="1:6" s="89" customFormat="1" x14ac:dyDescent="0.2">
      <c r="A71" s="156">
        <v>43375</v>
      </c>
      <c r="B71" s="111">
        <v>294.63</v>
      </c>
      <c r="C71" s="112" t="s">
        <v>252</v>
      </c>
      <c r="D71" s="112" t="s">
        <v>301</v>
      </c>
      <c r="E71" s="113" t="s">
        <v>190</v>
      </c>
      <c r="F71" s="1"/>
    </row>
    <row r="72" spans="1:6" s="89" customFormat="1" ht="25.5" x14ac:dyDescent="0.2">
      <c r="A72" s="156">
        <v>43376</v>
      </c>
      <c r="B72" s="111">
        <v>73.040000000000006</v>
      </c>
      <c r="C72" s="112" t="s">
        <v>337</v>
      </c>
      <c r="D72" s="112" t="s">
        <v>195</v>
      </c>
      <c r="E72" s="113" t="s">
        <v>171</v>
      </c>
      <c r="F72" s="1"/>
    </row>
    <row r="73" spans="1:6" s="89" customFormat="1" x14ac:dyDescent="0.2">
      <c r="A73" s="156">
        <v>43376</v>
      </c>
      <c r="B73" s="111">
        <v>143.37</v>
      </c>
      <c r="C73" s="112" t="s">
        <v>252</v>
      </c>
      <c r="D73" s="112" t="s">
        <v>297</v>
      </c>
      <c r="E73" s="113" t="s">
        <v>171</v>
      </c>
      <c r="F73" s="1"/>
    </row>
    <row r="74" spans="1:6" s="89" customFormat="1" x14ac:dyDescent="0.2">
      <c r="A74" s="156" t="s">
        <v>208</v>
      </c>
      <c r="B74" s="111">
        <v>379.68</v>
      </c>
      <c r="C74" s="112" t="s">
        <v>209</v>
      </c>
      <c r="D74" s="112" t="s">
        <v>293</v>
      </c>
      <c r="E74" s="113" t="s">
        <v>172</v>
      </c>
      <c r="F74" s="1"/>
    </row>
    <row r="75" spans="1:6" s="89" customFormat="1" x14ac:dyDescent="0.2">
      <c r="A75" s="156" t="s">
        <v>208</v>
      </c>
      <c r="B75" s="111">
        <v>201.05</v>
      </c>
      <c r="C75" s="112" t="s">
        <v>252</v>
      </c>
      <c r="D75" s="112" t="s">
        <v>297</v>
      </c>
      <c r="E75" s="113" t="s">
        <v>172</v>
      </c>
      <c r="F75" s="1"/>
    </row>
    <row r="76" spans="1:6" s="89" customFormat="1" x14ac:dyDescent="0.2">
      <c r="A76" s="156">
        <v>43382</v>
      </c>
      <c r="B76" s="111">
        <v>43.65</v>
      </c>
      <c r="C76" s="112" t="s">
        <v>252</v>
      </c>
      <c r="D76" s="112" t="s">
        <v>176</v>
      </c>
      <c r="E76" s="113" t="s">
        <v>172</v>
      </c>
      <c r="F76" s="1"/>
    </row>
    <row r="77" spans="1:6" s="89" customFormat="1" x14ac:dyDescent="0.2">
      <c r="A77" s="156">
        <v>43382</v>
      </c>
      <c r="B77" s="111">
        <v>24.35</v>
      </c>
      <c r="C77" s="112" t="s">
        <v>252</v>
      </c>
      <c r="D77" s="112" t="s">
        <v>189</v>
      </c>
      <c r="E77" s="113" t="s">
        <v>267</v>
      </c>
      <c r="F77" s="1"/>
    </row>
    <row r="78" spans="1:6" s="89" customFormat="1" x14ac:dyDescent="0.2">
      <c r="A78" s="156">
        <v>43384</v>
      </c>
      <c r="B78" s="111">
        <v>401.32</v>
      </c>
      <c r="C78" s="112" t="s">
        <v>177</v>
      </c>
      <c r="D78" s="112" t="s">
        <v>299</v>
      </c>
      <c r="E78" s="113" t="s">
        <v>170</v>
      </c>
      <c r="F78" s="1"/>
    </row>
    <row r="79" spans="1:6" s="89" customFormat="1" x14ac:dyDescent="0.2">
      <c r="A79" s="156">
        <v>43384</v>
      </c>
      <c r="B79" s="111">
        <f>25.39+24.7</f>
        <v>50.09</v>
      </c>
      <c r="C79" s="112" t="s">
        <v>253</v>
      </c>
      <c r="D79" s="112" t="s">
        <v>173</v>
      </c>
      <c r="E79" s="113" t="s">
        <v>170</v>
      </c>
      <c r="F79" s="1"/>
    </row>
    <row r="80" spans="1:6" s="89" customFormat="1" ht="38.25" x14ac:dyDescent="0.2">
      <c r="A80" s="156" t="s">
        <v>185</v>
      </c>
      <c r="B80" s="111">
        <v>323.26</v>
      </c>
      <c r="C80" s="112" t="s">
        <v>338</v>
      </c>
      <c r="D80" s="112" t="s">
        <v>299</v>
      </c>
      <c r="E80" s="113" t="s">
        <v>170</v>
      </c>
      <c r="F80" s="1"/>
    </row>
    <row r="81" spans="1:6" s="89" customFormat="1" x14ac:dyDescent="0.2">
      <c r="A81" s="156" t="s">
        <v>185</v>
      </c>
      <c r="B81" s="111">
        <v>260</v>
      </c>
      <c r="C81" s="112" t="s">
        <v>252</v>
      </c>
      <c r="D81" s="112" t="s">
        <v>297</v>
      </c>
      <c r="E81" s="113"/>
      <c r="F81" s="1"/>
    </row>
    <row r="82" spans="1:6" s="89" customFormat="1" x14ac:dyDescent="0.2">
      <c r="A82" s="156" t="s">
        <v>185</v>
      </c>
      <c r="B82" s="111">
        <f>14.43+29.13+36.78</f>
        <v>80.34</v>
      </c>
      <c r="C82" s="112" t="s">
        <v>252</v>
      </c>
      <c r="D82" s="112" t="s">
        <v>175</v>
      </c>
      <c r="E82" s="113" t="s">
        <v>170</v>
      </c>
      <c r="F82" s="1"/>
    </row>
    <row r="83" spans="1:6" s="89" customFormat="1" ht="25.5" x14ac:dyDescent="0.2">
      <c r="A83" s="156" t="s">
        <v>210</v>
      </c>
      <c r="B83" s="111">
        <v>305.18</v>
      </c>
      <c r="C83" s="112" t="s">
        <v>339</v>
      </c>
      <c r="D83" s="112" t="s">
        <v>299</v>
      </c>
      <c r="E83" s="113" t="s">
        <v>170</v>
      </c>
      <c r="F83" s="1"/>
    </row>
    <row r="84" spans="1:6" s="89" customFormat="1" x14ac:dyDescent="0.2">
      <c r="A84" s="156" t="s">
        <v>210</v>
      </c>
      <c r="B84" s="111">
        <v>266.8</v>
      </c>
      <c r="C84" s="112" t="s">
        <v>252</v>
      </c>
      <c r="D84" s="112" t="s">
        <v>202</v>
      </c>
      <c r="E84" s="113" t="s">
        <v>170</v>
      </c>
      <c r="F84" s="1"/>
    </row>
    <row r="85" spans="1:6" s="89" customFormat="1" x14ac:dyDescent="0.2">
      <c r="A85" s="156" t="s">
        <v>210</v>
      </c>
      <c r="B85" s="111">
        <f>30.52+28.96</f>
        <v>59.480000000000004</v>
      </c>
      <c r="C85" s="112" t="s">
        <v>252</v>
      </c>
      <c r="D85" s="112" t="s">
        <v>173</v>
      </c>
      <c r="E85" s="113" t="s">
        <v>170</v>
      </c>
      <c r="F85" s="1"/>
    </row>
    <row r="86" spans="1:6" s="89" customFormat="1" x14ac:dyDescent="0.2">
      <c r="A86" s="156">
        <v>43412</v>
      </c>
      <c r="B86" s="111">
        <v>86.96</v>
      </c>
      <c r="C86" s="112" t="s">
        <v>268</v>
      </c>
      <c r="D86" s="112" t="s">
        <v>189</v>
      </c>
      <c r="E86" s="113" t="s">
        <v>267</v>
      </c>
      <c r="F86" s="1"/>
    </row>
    <row r="87" spans="1:6" s="89" customFormat="1" ht="25.5" x14ac:dyDescent="0.2">
      <c r="A87" s="156">
        <v>43418</v>
      </c>
      <c r="B87" s="111">
        <v>373.24</v>
      </c>
      <c r="C87" s="112" t="s">
        <v>332</v>
      </c>
      <c r="D87" s="112" t="s">
        <v>299</v>
      </c>
      <c r="E87" s="113" t="s">
        <v>170</v>
      </c>
      <c r="F87" s="1"/>
    </row>
    <row r="88" spans="1:6" s="89" customFormat="1" x14ac:dyDescent="0.2">
      <c r="A88" s="156">
        <v>43418</v>
      </c>
      <c r="B88" s="111">
        <v>40.520000000000003</v>
      </c>
      <c r="C88" s="112" t="s">
        <v>252</v>
      </c>
      <c r="D88" s="112" t="s">
        <v>176</v>
      </c>
      <c r="E88" s="113" t="s">
        <v>170</v>
      </c>
      <c r="F88" s="1"/>
    </row>
    <row r="89" spans="1:6" s="89" customFormat="1" ht="38.25" x14ac:dyDescent="0.2">
      <c r="A89" s="156" t="s">
        <v>188</v>
      </c>
      <c r="B89" s="111">
        <v>311.60000000000002</v>
      </c>
      <c r="C89" s="112" t="s">
        <v>340</v>
      </c>
      <c r="D89" s="112" t="s">
        <v>183</v>
      </c>
      <c r="E89" s="113" t="s">
        <v>171</v>
      </c>
      <c r="F89" s="1"/>
    </row>
    <row r="90" spans="1:6" s="89" customFormat="1" x14ac:dyDescent="0.2">
      <c r="A90" s="156" t="s">
        <v>188</v>
      </c>
      <c r="B90" s="111">
        <v>252.74</v>
      </c>
      <c r="C90" s="112" t="s">
        <v>252</v>
      </c>
      <c r="D90" s="112" t="s">
        <v>302</v>
      </c>
      <c r="E90" s="113" t="s">
        <v>171</v>
      </c>
      <c r="F90" s="1"/>
    </row>
    <row r="91" spans="1:6" s="89" customFormat="1" x14ac:dyDescent="0.2">
      <c r="A91" s="156">
        <v>43424</v>
      </c>
      <c r="B91" s="111">
        <v>266.95999999999998</v>
      </c>
      <c r="C91" s="112" t="s">
        <v>252</v>
      </c>
      <c r="D91" s="112" t="s">
        <v>264</v>
      </c>
      <c r="E91" s="113" t="s">
        <v>171</v>
      </c>
      <c r="F91" s="1"/>
    </row>
    <row r="92" spans="1:6" s="89" customFormat="1" x14ac:dyDescent="0.2">
      <c r="A92" s="156">
        <v>43425</v>
      </c>
      <c r="B92" s="111">
        <v>46.96</v>
      </c>
      <c r="C92" s="112" t="s">
        <v>252</v>
      </c>
      <c r="D92" s="112" t="s">
        <v>179</v>
      </c>
      <c r="E92" s="113" t="s">
        <v>171</v>
      </c>
      <c r="F92" s="1"/>
    </row>
    <row r="93" spans="1:6" s="89" customFormat="1" ht="25.5" x14ac:dyDescent="0.2">
      <c r="A93" s="156">
        <v>43432</v>
      </c>
      <c r="B93" s="111">
        <v>305.18</v>
      </c>
      <c r="C93" s="112" t="s">
        <v>341</v>
      </c>
      <c r="D93" s="112" t="s">
        <v>299</v>
      </c>
      <c r="E93" s="113" t="s">
        <v>170</v>
      </c>
      <c r="F93" s="1"/>
    </row>
    <row r="94" spans="1:6" s="89" customFormat="1" x14ac:dyDescent="0.2">
      <c r="A94" s="156">
        <v>43432</v>
      </c>
      <c r="B94" s="111">
        <f>35.48+35.57</f>
        <v>71.05</v>
      </c>
      <c r="C94" s="112" t="s">
        <v>252</v>
      </c>
      <c r="D94" s="112" t="s">
        <v>173</v>
      </c>
      <c r="E94" s="113" t="s">
        <v>170</v>
      </c>
      <c r="F94" s="1"/>
    </row>
    <row r="95" spans="1:6" s="89" customFormat="1" ht="25.5" x14ac:dyDescent="0.2">
      <c r="A95" s="156">
        <v>43438</v>
      </c>
      <c r="B95" s="111">
        <v>192.54</v>
      </c>
      <c r="C95" s="112" t="s">
        <v>214</v>
      </c>
      <c r="D95" s="112" t="s">
        <v>202</v>
      </c>
      <c r="E95" s="113" t="s">
        <v>215</v>
      </c>
      <c r="F95" s="1"/>
    </row>
    <row r="96" spans="1:6" s="89" customFormat="1" x14ac:dyDescent="0.2">
      <c r="A96" s="156">
        <v>43438</v>
      </c>
      <c r="B96" s="111">
        <v>10.87</v>
      </c>
      <c r="C96" s="112" t="s">
        <v>265</v>
      </c>
      <c r="D96" s="112" t="s">
        <v>266</v>
      </c>
      <c r="E96" s="113" t="s">
        <v>215</v>
      </c>
      <c r="F96" s="1"/>
    </row>
    <row r="97" spans="1:6" s="89" customFormat="1" x14ac:dyDescent="0.2">
      <c r="A97" s="156">
        <v>43439</v>
      </c>
      <c r="B97" s="111">
        <v>43.48</v>
      </c>
      <c r="C97" s="112" t="s">
        <v>268</v>
      </c>
      <c r="D97" s="112" t="s">
        <v>189</v>
      </c>
      <c r="E97" s="113" t="s">
        <v>267</v>
      </c>
      <c r="F97" s="1"/>
    </row>
    <row r="98" spans="1:6" s="89" customFormat="1" x14ac:dyDescent="0.2">
      <c r="A98" s="156" t="s">
        <v>216</v>
      </c>
      <c r="B98" s="111">
        <v>311.45</v>
      </c>
      <c r="C98" s="112" t="s">
        <v>342</v>
      </c>
      <c r="D98" s="112" t="s">
        <v>183</v>
      </c>
      <c r="E98" s="113" t="s">
        <v>171</v>
      </c>
      <c r="F98" s="1"/>
    </row>
    <row r="99" spans="1:6" s="89" customFormat="1" x14ac:dyDescent="0.2">
      <c r="A99" s="156" t="s">
        <v>216</v>
      </c>
      <c r="B99" s="111">
        <v>161.97999999999999</v>
      </c>
      <c r="C99" s="112" t="s">
        <v>253</v>
      </c>
      <c r="D99" s="112" t="s">
        <v>297</v>
      </c>
      <c r="E99" s="113" t="s">
        <v>171</v>
      </c>
      <c r="F99" s="1"/>
    </row>
    <row r="100" spans="1:6" s="89" customFormat="1" x14ac:dyDescent="0.2">
      <c r="A100" s="156">
        <v>43439</v>
      </c>
      <c r="B100" s="111">
        <v>27.83</v>
      </c>
      <c r="C100" s="112" t="s">
        <v>253</v>
      </c>
      <c r="D100" s="112" t="s">
        <v>196</v>
      </c>
      <c r="E100" s="113" t="s">
        <v>171</v>
      </c>
      <c r="F100" s="1"/>
    </row>
    <row r="101" spans="1:6" s="89" customFormat="1" x14ac:dyDescent="0.2">
      <c r="A101" s="156" t="s">
        <v>269</v>
      </c>
      <c r="B101" s="111">
        <v>311.45</v>
      </c>
      <c r="C101" s="112" t="s">
        <v>343</v>
      </c>
      <c r="D101" s="112" t="s">
        <v>183</v>
      </c>
      <c r="E101" s="113" t="s">
        <v>171</v>
      </c>
      <c r="F101" s="1"/>
    </row>
    <row r="102" spans="1:6" s="89" customFormat="1" ht="25.5" x14ac:dyDescent="0.2">
      <c r="A102" s="156" t="s">
        <v>217</v>
      </c>
      <c r="B102" s="111">
        <v>556.05999999999995</v>
      </c>
      <c r="C102" s="112" t="s">
        <v>218</v>
      </c>
      <c r="D102" s="112" t="s">
        <v>303</v>
      </c>
      <c r="E102" s="113" t="s">
        <v>172</v>
      </c>
      <c r="F102" s="1"/>
    </row>
    <row r="103" spans="1:6" s="89" customFormat="1" x14ac:dyDescent="0.2">
      <c r="A103" s="156" t="s">
        <v>217</v>
      </c>
      <c r="B103" s="111">
        <v>243.57</v>
      </c>
      <c r="C103" s="112" t="s">
        <v>252</v>
      </c>
      <c r="D103" s="112" t="s">
        <v>301</v>
      </c>
      <c r="E103" s="113" t="s">
        <v>172</v>
      </c>
      <c r="F103" s="1"/>
    </row>
    <row r="104" spans="1:6" s="89" customFormat="1" x14ac:dyDescent="0.2">
      <c r="A104" s="156">
        <v>43443</v>
      </c>
      <c r="B104" s="111">
        <v>43.3</v>
      </c>
      <c r="C104" s="112" t="s">
        <v>252</v>
      </c>
      <c r="D104" s="112" t="s">
        <v>176</v>
      </c>
      <c r="E104" s="113" t="s">
        <v>172</v>
      </c>
      <c r="F104" s="1"/>
    </row>
    <row r="105" spans="1:6" s="89" customFormat="1" x14ac:dyDescent="0.2">
      <c r="A105" s="156">
        <v>43444</v>
      </c>
      <c r="B105" s="111">
        <v>18.260000000000002</v>
      </c>
      <c r="C105" s="112" t="s">
        <v>252</v>
      </c>
      <c r="D105" s="112" t="s">
        <v>189</v>
      </c>
      <c r="E105" s="113" t="s">
        <v>270</v>
      </c>
      <c r="F105" s="1"/>
    </row>
    <row r="106" spans="1:6" s="89" customFormat="1" x14ac:dyDescent="0.2">
      <c r="A106" s="156" t="s">
        <v>304</v>
      </c>
      <c r="B106" s="111">
        <v>121.63</v>
      </c>
      <c r="C106" s="112" t="s">
        <v>205</v>
      </c>
      <c r="D106" s="112" t="s">
        <v>297</v>
      </c>
      <c r="E106" s="113" t="s">
        <v>171</v>
      </c>
      <c r="F106" s="1"/>
    </row>
    <row r="107" spans="1:6" s="89" customFormat="1" x14ac:dyDescent="0.2">
      <c r="A107" s="156">
        <v>43444</v>
      </c>
      <c r="B107" s="111">
        <v>20.7</v>
      </c>
      <c r="C107" s="112" t="s">
        <v>205</v>
      </c>
      <c r="D107" s="112" t="s">
        <v>196</v>
      </c>
      <c r="E107" s="113" t="s">
        <v>171</v>
      </c>
      <c r="F107" s="1"/>
    </row>
    <row r="108" spans="1:6" s="89" customFormat="1" ht="25.5" x14ac:dyDescent="0.2">
      <c r="A108" s="156">
        <v>43446</v>
      </c>
      <c r="B108" s="111">
        <v>332.43</v>
      </c>
      <c r="C108" s="112" t="s">
        <v>344</v>
      </c>
      <c r="D108" s="112" t="s">
        <v>299</v>
      </c>
      <c r="E108" s="113" t="s">
        <v>170</v>
      </c>
      <c r="F108" s="1"/>
    </row>
    <row r="109" spans="1:6" s="89" customFormat="1" x14ac:dyDescent="0.2">
      <c r="A109" s="156">
        <v>43446</v>
      </c>
      <c r="B109" s="111">
        <f>31.65+31.13</f>
        <v>62.78</v>
      </c>
      <c r="C109" s="112" t="s">
        <v>252</v>
      </c>
      <c r="D109" s="112" t="s">
        <v>173</v>
      </c>
      <c r="E109" s="113" t="s">
        <v>170</v>
      </c>
      <c r="F109" s="1"/>
    </row>
    <row r="110" spans="1:6" s="89" customFormat="1" x14ac:dyDescent="0.2">
      <c r="A110" s="156" t="s">
        <v>219</v>
      </c>
      <c r="B110" s="111">
        <v>311.45</v>
      </c>
      <c r="C110" s="112" t="s">
        <v>220</v>
      </c>
      <c r="D110" s="112" t="s">
        <v>183</v>
      </c>
      <c r="E110" s="113" t="s">
        <v>171</v>
      </c>
      <c r="F110" s="1"/>
    </row>
    <row r="111" spans="1:6" s="89" customFormat="1" x14ac:dyDescent="0.2">
      <c r="A111" s="156" t="s">
        <v>219</v>
      </c>
      <c r="B111" s="111">
        <v>161.97999999999999</v>
      </c>
      <c r="C111" s="112" t="s">
        <v>305</v>
      </c>
      <c r="D111" s="112" t="s">
        <v>297</v>
      </c>
      <c r="E111" s="113" t="s">
        <v>171</v>
      </c>
      <c r="F111" s="1"/>
    </row>
    <row r="112" spans="1:6" s="89" customFormat="1" x14ac:dyDescent="0.2">
      <c r="A112" s="156">
        <v>43488</v>
      </c>
      <c r="B112" s="111">
        <v>86.96</v>
      </c>
      <c r="C112" s="112" t="s">
        <v>268</v>
      </c>
      <c r="D112" s="112" t="s">
        <v>189</v>
      </c>
      <c r="E112" s="113" t="s">
        <v>267</v>
      </c>
      <c r="F112" s="1"/>
    </row>
    <row r="113" spans="1:6" s="89" customFormat="1" ht="25.5" x14ac:dyDescent="0.2">
      <c r="A113" s="156">
        <v>43488</v>
      </c>
      <c r="B113" s="111">
        <v>373.24</v>
      </c>
      <c r="C113" s="112" t="s">
        <v>221</v>
      </c>
      <c r="D113" s="112" t="s">
        <v>299</v>
      </c>
      <c r="E113" s="113" t="s">
        <v>170</v>
      </c>
      <c r="F113" s="1"/>
    </row>
    <row r="114" spans="1:6" s="89" customFormat="1" x14ac:dyDescent="0.2">
      <c r="A114" s="156">
        <v>43488</v>
      </c>
      <c r="B114" s="111">
        <f>35.65+42.87</f>
        <v>78.52</v>
      </c>
      <c r="C114" s="112" t="s">
        <v>253</v>
      </c>
      <c r="D114" s="112" t="s">
        <v>173</v>
      </c>
      <c r="E114" s="113" t="s">
        <v>170</v>
      </c>
      <c r="F114" s="1"/>
    </row>
    <row r="115" spans="1:6" s="89" customFormat="1" x14ac:dyDescent="0.2">
      <c r="A115" s="156" t="s">
        <v>222</v>
      </c>
      <c r="B115" s="111">
        <v>311.45</v>
      </c>
      <c r="C115" s="112" t="s">
        <v>345</v>
      </c>
      <c r="D115" s="112" t="s">
        <v>183</v>
      </c>
      <c r="E115" s="113" t="s">
        <v>171</v>
      </c>
      <c r="F115" s="1"/>
    </row>
    <row r="116" spans="1:6" s="89" customFormat="1" x14ac:dyDescent="0.2">
      <c r="A116" s="156" t="s">
        <v>222</v>
      </c>
      <c r="B116" s="111">
        <v>114.2</v>
      </c>
      <c r="C116" s="112" t="s">
        <v>253</v>
      </c>
      <c r="D116" s="112" t="s">
        <v>202</v>
      </c>
      <c r="E116" s="113" t="s">
        <v>171</v>
      </c>
      <c r="F116" s="1"/>
    </row>
    <row r="117" spans="1:6" s="89" customFormat="1" ht="25.5" x14ac:dyDescent="0.2">
      <c r="A117" s="156">
        <v>43496</v>
      </c>
      <c r="B117" s="111">
        <v>400.49</v>
      </c>
      <c r="C117" s="112" t="s">
        <v>349</v>
      </c>
      <c r="D117" s="112" t="s">
        <v>299</v>
      </c>
      <c r="E117" s="113" t="s">
        <v>170</v>
      </c>
      <c r="F117" s="1"/>
    </row>
    <row r="118" spans="1:6" s="89" customFormat="1" x14ac:dyDescent="0.2">
      <c r="A118" s="156">
        <v>43496</v>
      </c>
      <c r="B118" s="111">
        <v>32.43</v>
      </c>
      <c r="C118" s="112" t="s">
        <v>252</v>
      </c>
      <c r="D118" s="112" t="s">
        <v>176</v>
      </c>
      <c r="E118" s="113" t="s">
        <v>170</v>
      </c>
      <c r="F118" s="1"/>
    </row>
    <row r="119" spans="1:6" s="89" customFormat="1" ht="25.5" x14ac:dyDescent="0.2">
      <c r="A119" s="156" t="s">
        <v>223</v>
      </c>
      <c r="B119" s="111">
        <v>311.45</v>
      </c>
      <c r="C119" s="112" t="s">
        <v>224</v>
      </c>
      <c r="D119" s="112" t="s">
        <v>183</v>
      </c>
      <c r="E119" s="113" t="s">
        <v>171</v>
      </c>
      <c r="F119" s="1"/>
    </row>
    <row r="120" spans="1:6" s="89" customFormat="1" x14ac:dyDescent="0.2">
      <c r="A120" s="156" t="s">
        <v>223</v>
      </c>
      <c r="B120" s="111">
        <v>114.2</v>
      </c>
      <c r="C120" s="112" t="s">
        <v>328</v>
      </c>
      <c r="D120" s="112" t="s">
        <v>202</v>
      </c>
      <c r="E120" s="113" t="s">
        <v>171</v>
      </c>
      <c r="F120" s="1"/>
    </row>
    <row r="121" spans="1:6" s="89" customFormat="1" x14ac:dyDescent="0.2">
      <c r="A121" s="156">
        <v>43507</v>
      </c>
      <c r="B121" s="111">
        <v>345.81</v>
      </c>
      <c r="C121" s="112" t="s">
        <v>225</v>
      </c>
      <c r="D121" s="112" t="s">
        <v>293</v>
      </c>
      <c r="E121" s="113" t="s">
        <v>172</v>
      </c>
      <c r="F121" s="1"/>
    </row>
    <row r="122" spans="1:6" s="89" customFormat="1" x14ac:dyDescent="0.2">
      <c r="A122" s="156">
        <v>43507</v>
      </c>
      <c r="B122" s="111">
        <v>42.87</v>
      </c>
      <c r="C122" s="112" t="s">
        <v>253</v>
      </c>
      <c r="D122" s="112" t="s">
        <v>176</v>
      </c>
      <c r="E122" s="113" t="s">
        <v>172</v>
      </c>
      <c r="F122" s="1"/>
    </row>
    <row r="123" spans="1:6" s="89" customFormat="1" ht="25.5" x14ac:dyDescent="0.2">
      <c r="A123" s="156">
        <v>43508</v>
      </c>
      <c r="B123" s="111">
        <v>419.22</v>
      </c>
      <c r="C123" s="112" t="s">
        <v>350</v>
      </c>
      <c r="D123" s="112" t="s">
        <v>346</v>
      </c>
      <c r="E123" s="113" t="s">
        <v>226</v>
      </c>
      <c r="F123" s="1"/>
    </row>
    <row r="124" spans="1:6" s="89" customFormat="1" ht="38.25" x14ac:dyDescent="0.2">
      <c r="A124" s="156" t="s">
        <v>227</v>
      </c>
      <c r="B124" s="111">
        <v>558.42999999999995</v>
      </c>
      <c r="C124" s="112" t="s">
        <v>347</v>
      </c>
      <c r="D124" s="112" t="s">
        <v>299</v>
      </c>
      <c r="E124" s="113" t="s">
        <v>170</v>
      </c>
      <c r="F124" s="1"/>
    </row>
    <row r="125" spans="1:6" s="89" customFormat="1" x14ac:dyDescent="0.2">
      <c r="A125" s="156" t="s">
        <v>227</v>
      </c>
      <c r="B125" s="111">
        <v>226.5</v>
      </c>
      <c r="C125" s="112" t="s">
        <v>252</v>
      </c>
      <c r="D125" s="112" t="s">
        <v>202</v>
      </c>
      <c r="E125" s="113" t="s">
        <v>170</v>
      </c>
      <c r="F125" s="1"/>
    </row>
    <row r="126" spans="1:6" s="89" customFormat="1" x14ac:dyDescent="0.2">
      <c r="A126" s="156" t="s">
        <v>227</v>
      </c>
      <c r="B126" s="111">
        <f>13.39+13.9+31.83+13.3+40.96</f>
        <v>113.38</v>
      </c>
      <c r="C126" s="112" t="s">
        <v>252</v>
      </c>
      <c r="D126" s="112" t="s">
        <v>306</v>
      </c>
      <c r="E126" s="113" t="s">
        <v>170</v>
      </c>
      <c r="F126" s="1"/>
    </row>
    <row r="127" spans="1:6" s="89" customFormat="1" x14ac:dyDescent="0.2">
      <c r="A127" s="156">
        <v>43530</v>
      </c>
      <c r="B127" s="111">
        <v>86.96</v>
      </c>
      <c r="C127" s="112" t="s">
        <v>268</v>
      </c>
      <c r="D127" s="112" t="s">
        <v>189</v>
      </c>
      <c r="E127" s="113" t="s">
        <v>267</v>
      </c>
      <c r="F127" s="1"/>
    </row>
    <row r="128" spans="1:6" s="89" customFormat="1" ht="38.25" x14ac:dyDescent="0.2">
      <c r="A128" s="156">
        <v>43530</v>
      </c>
      <c r="B128" s="111">
        <v>297.39</v>
      </c>
      <c r="C128" s="112" t="s">
        <v>348</v>
      </c>
      <c r="D128" s="112" t="s">
        <v>299</v>
      </c>
      <c r="E128" s="113" t="s">
        <v>170</v>
      </c>
      <c r="F128" s="1"/>
    </row>
    <row r="129" spans="1:6" s="89" customFormat="1" x14ac:dyDescent="0.2">
      <c r="A129" s="156">
        <v>43530</v>
      </c>
      <c r="B129" s="111">
        <f>43.22+29.13</f>
        <v>72.349999999999994</v>
      </c>
      <c r="C129" s="112" t="s">
        <v>252</v>
      </c>
      <c r="D129" s="112" t="s">
        <v>173</v>
      </c>
      <c r="E129" s="113" t="s">
        <v>170</v>
      </c>
      <c r="F129" s="1"/>
    </row>
    <row r="130" spans="1:6" s="89" customFormat="1" ht="38.25" x14ac:dyDescent="0.2">
      <c r="A130" s="156" t="s">
        <v>232</v>
      </c>
      <c r="B130" s="111">
        <v>373.24</v>
      </c>
      <c r="C130" s="112" t="s">
        <v>351</v>
      </c>
      <c r="D130" s="112" t="s">
        <v>299</v>
      </c>
      <c r="E130" s="113" t="s">
        <v>170</v>
      </c>
      <c r="F130" s="1"/>
    </row>
    <row r="131" spans="1:6" s="89" customFormat="1" x14ac:dyDescent="0.2">
      <c r="A131" s="156" t="s">
        <v>232</v>
      </c>
      <c r="B131" s="111">
        <v>166.37</v>
      </c>
      <c r="C131" s="112" t="s">
        <v>252</v>
      </c>
      <c r="D131" s="112" t="s">
        <v>202</v>
      </c>
      <c r="E131" s="113" t="s">
        <v>170</v>
      </c>
      <c r="F131" s="1"/>
    </row>
    <row r="132" spans="1:6" s="89" customFormat="1" x14ac:dyDescent="0.2">
      <c r="A132" s="156">
        <v>43537</v>
      </c>
      <c r="B132" s="111">
        <f>35.65+14.7+15.3</f>
        <v>65.649999999999991</v>
      </c>
      <c r="C132" s="112" t="s">
        <v>252</v>
      </c>
      <c r="D132" s="112" t="s">
        <v>175</v>
      </c>
      <c r="E132" s="113" t="s">
        <v>170</v>
      </c>
      <c r="F132" s="1"/>
    </row>
    <row r="133" spans="1:6" s="89" customFormat="1" x14ac:dyDescent="0.2">
      <c r="A133" s="156">
        <v>43537</v>
      </c>
      <c r="B133" s="111">
        <v>24.35</v>
      </c>
      <c r="C133" s="112" t="s">
        <v>252</v>
      </c>
      <c r="D133" s="112" t="s">
        <v>196</v>
      </c>
      <c r="E133" s="113" t="s">
        <v>170</v>
      </c>
      <c r="F133" s="1"/>
    </row>
    <row r="134" spans="1:6" s="89" customFormat="1" ht="25.5" x14ac:dyDescent="0.2">
      <c r="A134" s="156">
        <v>43552</v>
      </c>
      <c r="B134" s="111">
        <v>306.89</v>
      </c>
      <c r="C134" s="112" t="s">
        <v>233</v>
      </c>
      <c r="D134" s="112" t="s">
        <v>293</v>
      </c>
      <c r="E134" s="113" t="s">
        <v>172</v>
      </c>
      <c r="F134" s="1"/>
    </row>
    <row r="135" spans="1:6" s="89" customFormat="1" x14ac:dyDescent="0.2">
      <c r="A135" s="156">
        <v>43552</v>
      </c>
      <c r="B135" s="111">
        <f>41.13+44</f>
        <v>85.13</v>
      </c>
      <c r="C135" s="112" t="s">
        <v>285</v>
      </c>
      <c r="D135" s="112" t="s">
        <v>173</v>
      </c>
      <c r="E135" s="113" t="s">
        <v>172</v>
      </c>
      <c r="F135" s="1"/>
    </row>
    <row r="136" spans="1:6" s="89" customFormat="1" ht="25.5" x14ac:dyDescent="0.2">
      <c r="A136" s="156" t="s">
        <v>234</v>
      </c>
      <c r="B136" s="111">
        <v>311.60000000000002</v>
      </c>
      <c r="C136" s="112" t="s">
        <v>224</v>
      </c>
      <c r="D136" s="112" t="s">
        <v>183</v>
      </c>
      <c r="E136" s="113" t="s">
        <v>171</v>
      </c>
      <c r="F136" s="1"/>
    </row>
    <row r="137" spans="1:6" s="89" customFormat="1" x14ac:dyDescent="0.2">
      <c r="A137" s="156" t="s">
        <v>234</v>
      </c>
      <c r="B137" s="111">
        <v>253.49</v>
      </c>
      <c r="C137" s="112" t="s">
        <v>328</v>
      </c>
      <c r="D137" s="112" t="s">
        <v>308</v>
      </c>
      <c r="E137" s="113" t="s">
        <v>171</v>
      </c>
      <c r="F137" s="1"/>
    </row>
    <row r="138" spans="1:6" s="89" customFormat="1" ht="25.5" x14ac:dyDescent="0.2">
      <c r="A138" s="114">
        <v>43563</v>
      </c>
      <c r="B138" s="111">
        <v>282.79000000000002</v>
      </c>
      <c r="C138" s="112" t="s">
        <v>218</v>
      </c>
      <c r="D138" s="112" t="s">
        <v>293</v>
      </c>
      <c r="E138" s="113" t="s">
        <v>172</v>
      </c>
      <c r="F138" s="1"/>
    </row>
    <row r="139" spans="1:6" s="89" customFormat="1" x14ac:dyDescent="0.2">
      <c r="A139" s="114">
        <v>43565</v>
      </c>
      <c r="B139" s="111">
        <v>86.96</v>
      </c>
      <c r="C139" s="112" t="s">
        <v>268</v>
      </c>
      <c r="D139" s="112" t="s">
        <v>189</v>
      </c>
      <c r="E139" s="113" t="s">
        <v>267</v>
      </c>
      <c r="F139" s="1"/>
    </row>
    <row r="140" spans="1:6" s="89" customFormat="1" ht="51" x14ac:dyDescent="0.2">
      <c r="A140" s="156" t="s">
        <v>235</v>
      </c>
      <c r="B140" s="111">
        <v>409.56</v>
      </c>
      <c r="C140" s="112" t="s">
        <v>352</v>
      </c>
      <c r="D140" s="112" t="s">
        <v>299</v>
      </c>
      <c r="E140" s="113" t="s">
        <v>170</v>
      </c>
      <c r="F140" s="1"/>
    </row>
    <row r="141" spans="1:6" s="89" customFormat="1" x14ac:dyDescent="0.2">
      <c r="A141" s="156" t="s">
        <v>235</v>
      </c>
      <c r="B141" s="111">
        <v>148.97999999999999</v>
      </c>
      <c r="C141" s="112" t="s">
        <v>252</v>
      </c>
      <c r="D141" s="112" t="s">
        <v>202</v>
      </c>
      <c r="E141" s="113" t="s">
        <v>170</v>
      </c>
      <c r="F141" s="1"/>
    </row>
    <row r="142" spans="1:6" s="89" customFormat="1" x14ac:dyDescent="0.2">
      <c r="A142" s="156">
        <v>43565</v>
      </c>
      <c r="B142" s="111">
        <f>12.61+20.61</f>
        <v>33.22</v>
      </c>
      <c r="C142" s="112" t="s">
        <v>252</v>
      </c>
      <c r="D142" s="112" t="s">
        <v>173</v>
      </c>
      <c r="E142" s="113" t="s">
        <v>170</v>
      </c>
      <c r="F142" s="1"/>
    </row>
    <row r="143" spans="1:6" s="89" customFormat="1" x14ac:dyDescent="0.2">
      <c r="A143" s="156">
        <v>43565</v>
      </c>
      <c r="B143" s="111">
        <v>26.09</v>
      </c>
      <c r="C143" s="112" t="s">
        <v>252</v>
      </c>
      <c r="D143" s="112" t="s">
        <v>196</v>
      </c>
      <c r="E143" s="113" t="s">
        <v>170</v>
      </c>
      <c r="F143" s="1"/>
    </row>
    <row r="144" spans="1:6" s="89" customFormat="1" ht="25.5" x14ac:dyDescent="0.2">
      <c r="A144" s="156" t="s">
        <v>236</v>
      </c>
      <c r="B144" s="111">
        <v>340.18</v>
      </c>
      <c r="C144" s="112" t="s">
        <v>353</v>
      </c>
      <c r="D144" s="112" t="s">
        <v>299</v>
      </c>
      <c r="E144" s="113" t="s">
        <v>170</v>
      </c>
      <c r="F144" s="1"/>
    </row>
    <row r="145" spans="1:6" s="89" customFormat="1" x14ac:dyDescent="0.2">
      <c r="A145" s="156" t="s">
        <v>236</v>
      </c>
      <c r="B145" s="111">
        <v>188.63</v>
      </c>
      <c r="C145" s="112" t="s">
        <v>252</v>
      </c>
      <c r="D145" s="112" t="s">
        <v>202</v>
      </c>
      <c r="E145" s="113" t="s">
        <v>170</v>
      </c>
      <c r="F145" s="1"/>
    </row>
    <row r="146" spans="1:6" s="89" customFormat="1" x14ac:dyDescent="0.2">
      <c r="A146" s="156" t="s">
        <v>236</v>
      </c>
      <c r="B146" s="111">
        <f>33.22+28.87</f>
        <v>62.09</v>
      </c>
      <c r="C146" s="112" t="s">
        <v>252</v>
      </c>
      <c r="D146" s="112" t="s">
        <v>173</v>
      </c>
      <c r="E146" s="113" t="s">
        <v>170</v>
      </c>
      <c r="F146" s="1"/>
    </row>
    <row r="147" spans="1:6" s="89" customFormat="1" x14ac:dyDescent="0.2">
      <c r="A147" s="156">
        <v>43571</v>
      </c>
      <c r="B147" s="111">
        <v>39.130000000000003</v>
      </c>
      <c r="C147" s="112" t="s">
        <v>252</v>
      </c>
      <c r="D147" s="112" t="s">
        <v>196</v>
      </c>
      <c r="E147" s="113" t="s">
        <v>170</v>
      </c>
      <c r="F147" s="1"/>
    </row>
    <row r="148" spans="1:6" s="89" customFormat="1" x14ac:dyDescent="0.2">
      <c r="A148" s="156">
        <v>43591</v>
      </c>
      <c r="B148" s="111">
        <v>86.96</v>
      </c>
      <c r="C148" s="112" t="s">
        <v>268</v>
      </c>
      <c r="D148" s="112" t="s">
        <v>189</v>
      </c>
      <c r="E148" s="113" t="s">
        <v>267</v>
      </c>
      <c r="F148" s="1"/>
    </row>
    <row r="149" spans="1:6" s="89" customFormat="1" ht="38.25" x14ac:dyDescent="0.2">
      <c r="A149" s="156">
        <v>43591</v>
      </c>
      <c r="B149" s="111">
        <v>719.35</v>
      </c>
      <c r="C149" s="112" t="s">
        <v>354</v>
      </c>
      <c r="D149" s="112" t="s">
        <v>309</v>
      </c>
      <c r="E149" s="113" t="s">
        <v>170</v>
      </c>
      <c r="F149" s="1"/>
    </row>
    <row r="150" spans="1:6" s="89" customFormat="1" x14ac:dyDescent="0.2">
      <c r="A150" s="156">
        <v>43591</v>
      </c>
      <c r="B150" s="111">
        <f>14.83+29.57</f>
        <v>44.4</v>
      </c>
      <c r="C150" s="112" t="s">
        <v>252</v>
      </c>
      <c r="D150" s="112" t="s">
        <v>173</v>
      </c>
      <c r="E150" s="113" t="s">
        <v>170</v>
      </c>
      <c r="F150" s="1"/>
    </row>
    <row r="151" spans="1:6" s="89" customFormat="1" ht="63.75" x14ac:dyDescent="0.2">
      <c r="A151" s="156" t="s">
        <v>237</v>
      </c>
      <c r="B151" s="111">
        <v>677.6</v>
      </c>
      <c r="C151" s="112" t="s">
        <v>355</v>
      </c>
      <c r="D151" s="112" t="s">
        <v>290</v>
      </c>
      <c r="E151" s="113" t="s">
        <v>291</v>
      </c>
      <c r="F151" s="1"/>
    </row>
    <row r="152" spans="1:6" s="89" customFormat="1" x14ac:dyDescent="0.2">
      <c r="A152" s="156" t="s">
        <v>237</v>
      </c>
      <c r="B152" s="111">
        <v>149.97999999999999</v>
      </c>
      <c r="C152" s="112" t="s">
        <v>311</v>
      </c>
      <c r="D152" s="112" t="s">
        <v>202</v>
      </c>
      <c r="E152" s="113" t="s">
        <v>170</v>
      </c>
      <c r="F152" s="1"/>
    </row>
    <row r="153" spans="1:6" s="89" customFormat="1" x14ac:dyDescent="0.2">
      <c r="A153" s="156" t="s">
        <v>237</v>
      </c>
      <c r="B153" s="111">
        <f>35.3+36.43</f>
        <v>71.72999999999999</v>
      </c>
      <c r="C153" s="112" t="s">
        <v>311</v>
      </c>
      <c r="D153" s="112" t="s">
        <v>173</v>
      </c>
      <c r="E153" s="113" t="s">
        <v>170</v>
      </c>
      <c r="F153" s="1"/>
    </row>
    <row r="154" spans="1:6" s="89" customFormat="1" x14ac:dyDescent="0.2">
      <c r="A154" s="156">
        <v>43593</v>
      </c>
      <c r="B154" s="111">
        <v>30.43</v>
      </c>
      <c r="C154" s="112" t="s">
        <v>311</v>
      </c>
      <c r="D154" s="112" t="s">
        <v>196</v>
      </c>
      <c r="E154" s="113" t="s">
        <v>170</v>
      </c>
      <c r="F154" s="1"/>
    </row>
    <row r="155" spans="1:6" s="89" customFormat="1" x14ac:dyDescent="0.2">
      <c r="A155" s="156" t="s">
        <v>238</v>
      </c>
      <c r="B155" s="111">
        <v>123.09</v>
      </c>
      <c r="C155" s="112" t="s">
        <v>312</v>
      </c>
      <c r="D155" s="112" t="s">
        <v>297</v>
      </c>
      <c r="E155" s="113" t="s">
        <v>171</v>
      </c>
      <c r="F155" s="1"/>
    </row>
    <row r="156" spans="1:6" s="89" customFormat="1" x14ac:dyDescent="0.2">
      <c r="A156" s="156">
        <v>43594</v>
      </c>
      <c r="B156" s="111">
        <v>18.97</v>
      </c>
      <c r="C156" s="112" t="s">
        <v>312</v>
      </c>
      <c r="D156" s="112" t="s">
        <v>196</v>
      </c>
      <c r="E156" s="113" t="s">
        <v>171</v>
      </c>
      <c r="F156" s="1"/>
    </row>
    <row r="157" spans="1:6" s="89" customFormat="1" x14ac:dyDescent="0.2">
      <c r="A157" s="156" t="s">
        <v>238</v>
      </c>
      <c r="B157" s="111">
        <v>91.7</v>
      </c>
      <c r="C157" s="112" t="s">
        <v>313</v>
      </c>
      <c r="D157" s="112" t="s">
        <v>310</v>
      </c>
      <c r="E157" s="113" t="s">
        <v>171</v>
      </c>
      <c r="F157" s="1"/>
    </row>
    <row r="158" spans="1:6" s="89" customFormat="1" x14ac:dyDescent="0.2">
      <c r="A158" s="156">
        <v>43595</v>
      </c>
      <c r="B158" s="111">
        <v>32.67</v>
      </c>
      <c r="C158" s="112" t="s">
        <v>313</v>
      </c>
      <c r="D158" s="112" t="s">
        <v>286</v>
      </c>
      <c r="E158" s="113" t="s">
        <v>267</v>
      </c>
      <c r="F158" s="1"/>
    </row>
    <row r="159" spans="1:6" s="89" customFormat="1" ht="38.25" x14ac:dyDescent="0.2">
      <c r="A159" s="156" t="s">
        <v>239</v>
      </c>
      <c r="B159" s="111">
        <v>311.60000000000002</v>
      </c>
      <c r="C159" s="112" t="s">
        <v>356</v>
      </c>
      <c r="D159" s="112" t="s">
        <v>183</v>
      </c>
      <c r="E159" s="113" t="s">
        <v>171</v>
      </c>
      <c r="F159" s="1"/>
    </row>
    <row r="160" spans="1:6" s="89" customFormat="1" x14ac:dyDescent="0.2">
      <c r="A160" s="156" t="s">
        <v>239</v>
      </c>
      <c r="B160" s="111">
        <v>147.74</v>
      </c>
      <c r="C160" s="112" t="s">
        <v>252</v>
      </c>
      <c r="D160" s="112" t="s">
        <v>202</v>
      </c>
      <c r="E160" s="113" t="s">
        <v>171</v>
      </c>
      <c r="F160" s="1"/>
    </row>
    <row r="161" spans="1:6" s="89" customFormat="1" x14ac:dyDescent="0.2">
      <c r="A161" s="156">
        <v>43600</v>
      </c>
      <c r="B161" s="111">
        <v>96.52</v>
      </c>
      <c r="C161" s="112" t="s">
        <v>252</v>
      </c>
      <c r="D161" s="112" t="s">
        <v>195</v>
      </c>
      <c r="E161" s="113" t="s">
        <v>171</v>
      </c>
      <c r="F161" s="1"/>
    </row>
    <row r="162" spans="1:6" s="89" customFormat="1" ht="38.25" x14ac:dyDescent="0.2">
      <c r="A162" s="156" t="s">
        <v>240</v>
      </c>
      <c r="B162" s="111">
        <v>428.64</v>
      </c>
      <c r="C162" s="112" t="s">
        <v>357</v>
      </c>
      <c r="D162" s="112" t="s">
        <v>275</v>
      </c>
      <c r="E162" s="113" t="s">
        <v>241</v>
      </c>
      <c r="F162" s="1"/>
    </row>
    <row r="163" spans="1:6" s="89" customFormat="1" x14ac:dyDescent="0.2">
      <c r="A163" s="156" t="s">
        <v>240</v>
      </c>
      <c r="B163" s="111">
        <v>223.87</v>
      </c>
      <c r="C163" s="112" t="s">
        <v>252</v>
      </c>
      <c r="D163" s="112" t="s">
        <v>314</v>
      </c>
      <c r="E163" s="113" t="s">
        <v>190</v>
      </c>
      <c r="F163" s="1"/>
    </row>
    <row r="164" spans="1:6" s="89" customFormat="1" ht="25.5" x14ac:dyDescent="0.2">
      <c r="A164" s="156">
        <v>43607</v>
      </c>
      <c r="B164" s="111">
        <v>39.39</v>
      </c>
      <c r="C164" s="112" t="s">
        <v>316</v>
      </c>
      <c r="D164" s="112" t="s">
        <v>176</v>
      </c>
      <c r="E164" s="113" t="s">
        <v>170</v>
      </c>
      <c r="F164" s="1"/>
    </row>
    <row r="165" spans="1:6" s="89" customFormat="1" x14ac:dyDescent="0.2">
      <c r="A165" s="156" t="s">
        <v>244</v>
      </c>
      <c r="B165" s="111">
        <v>428.64</v>
      </c>
      <c r="C165" s="112" t="s">
        <v>245</v>
      </c>
      <c r="D165" s="112" t="s">
        <v>275</v>
      </c>
      <c r="E165" s="113" t="s">
        <v>190</v>
      </c>
      <c r="F165" s="1"/>
    </row>
    <row r="166" spans="1:6" s="89" customFormat="1" x14ac:dyDescent="0.2">
      <c r="A166" s="156">
        <v>43611</v>
      </c>
      <c r="B166" s="111">
        <v>49.57</v>
      </c>
      <c r="C166" s="112" t="s">
        <v>273</v>
      </c>
      <c r="D166" s="112" t="s">
        <v>179</v>
      </c>
      <c r="E166" s="113" t="s">
        <v>190</v>
      </c>
      <c r="F166" s="1"/>
    </row>
    <row r="167" spans="1:6" s="89" customFormat="1" ht="25.5" x14ac:dyDescent="0.2">
      <c r="A167" s="156" t="s">
        <v>247</v>
      </c>
      <c r="B167" s="111">
        <v>343.48</v>
      </c>
      <c r="C167" s="112" t="s">
        <v>358</v>
      </c>
      <c r="D167" s="112" t="s">
        <v>317</v>
      </c>
      <c r="E167" s="113" t="s">
        <v>171</v>
      </c>
      <c r="F167" s="1"/>
    </row>
    <row r="168" spans="1:6" s="89" customFormat="1" x14ac:dyDescent="0.2">
      <c r="A168" s="156">
        <v>43622</v>
      </c>
      <c r="B168" s="111">
        <v>287.85000000000002</v>
      </c>
      <c r="C168" s="112" t="s">
        <v>248</v>
      </c>
      <c r="D168" s="112" t="s">
        <v>293</v>
      </c>
      <c r="E168" s="113" t="s">
        <v>172</v>
      </c>
      <c r="F168" s="1"/>
    </row>
    <row r="169" spans="1:6" s="89" customFormat="1" x14ac:dyDescent="0.2">
      <c r="A169" s="156">
        <v>43622</v>
      </c>
      <c r="B169" s="111">
        <f>49.04+42.26</f>
        <v>91.3</v>
      </c>
      <c r="C169" s="112" t="s">
        <v>253</v>
      </c>
      <c r="D169" s="112" t="s">
        <v>173</v>
      </c>
      <c r="E169" s="113" t="s">
        <v>172</v>
      </c>
      <c r="F169" s="1"/>
    </row>
    <row r="170" spans="1:6" s="89" customFormat="1" ht="25.5" x14ac:dyDescent="0.2">
      <c r="A170" s="156">
        <v>43626</v>
      </c>
      <c r="B170" s="111">
        <v>175.96</v>
      </c>
      <c r="C170" s="112" t="s">
        <v>218</v>
      </c>
      <c r="D170" s="112" t="s">
        <v>293</v>
      </c>
      <c r="E170" s="113" t="s">
        <v>172</v>
      </c>
      <c r="F170" s="1"/>
    </row>
    <row r="171" spans="1:6" s="89" customFormat="1" x14ac:dyDescent="0.2">
      <c r="A171" s="156">
        <v>43626</v>
      </c>
      <c r="B171" s="111">
        <f>50.78+46.61</f>
        <v>97.39</v>
      </c>
      <c r="C171" s="112" t="s">
        <v>252</v>
      </c>
      <c r="D171" s="112" t="s">
        <v>173</v>
      </c>
      <c r="E171" s="113" t="s">
        <v>172</v>
      </c>
      <c r="F171" s="1"/>
    </row>
    <row r="172" spans="1:6" s="89" customFormat="1" ht="38.25" x14ac:dyDescent="0.2">
      <c r="A172" s="156" t="s">
        <v>249</v>
      </c>
      <c r="B172" s="111">
        <v>183.57</v>
      </c>
      <c r="C172" s="112" t="s">
        <v>359</v>
      </c>
      <c r="D172" s="112" t="s">
        <v>299</v>
      </c>
      <c r="E172" s="113" t="s">
        <v>170</v>
      </c>
      <c r="F172" s="1"/>
    </row>
    <row r="173" spans="1:6" s="89" customFormat="1" x14ac:dyDescent="0.2">
      <c r="A173" s="156" t="s">
        <v>249</v>
      </c>
      <c r="B173" s="111">
        <v>171.33</v>
      </c>
      <c r="C173" s="112" t="s">
        <v>252</v>
      </c>
      <c r="D173" s="112" t="s">
        <v>202</v>
      </c>
      <c r="E173" s="113" t="s">
        <v>170</v>
      </c>
      <c r="F173" s="1"/>
    </row>
    <row r="174" spans="1:6" s="89" customFormat="1" x14ac:dyDescent="0.2">
      <c r="A174" s="156">
        <v>43628</v>
      </c>
      <c r="B174" s="111">
        <v>33.909999999999997</v>
      </c>
      <c r="C174" s="112" t="s">
        <v>252</v>
      </c>
      <c r="D174" s="112" t="s">
        <v>196</v>
      </c>
      <c r="E174" s="113" t="s">
        <v>170</v>
      </c>
      <c r="F174" s="1"/>
    </row>
    <row r="175" spans="1:6" s="89" customFormat="1" x14ac:dyDescent="0.2">
      <c r="A175" s="156" t="s">
        <v>249</v>
      </c>
      <c r="B175" s="111">
        <f>27.65+14.78+56.96</f>
        <v>99.39</v>
      </c>
      <c r="C175" s="112" t="s">
        <v>252</v>
      </c>
      <c r="D175" s="112" t="s">
        <v>175</v>
      </c>
      <c r="E175" s="113" t="s">
        <v>170</v>
      </c>
      <c r="F175" s="1"/>
    </row>
    <row r="176" spans="1:6" s="89" customFormat="1" ht="38.25" x14ac:dyDescent="0.2">
      <c r="A176" s="156" t="s">
        <v>250</v>
      </c>
      <c r="B176" s="111">
        <v>377.5</v>
      </c>
      <c r="C176" s="112" t="s">
        <v>360</v>
      </c>
      <c r="D176" s="112" t="s">
        <v>299</v>
      </c>
      <c r="E176" s="113" t="s">
        <v>170</v>
      </c>
      <c r="F176" s="1"/>
    </row>
    <row r="177" spans="1:6" s="89" customFormat="1" x14ac:dyDescent="0.2">
      <c r="A177" s="156" t="s">
        <v>250</v>
      </c>
      <c r="B177" s="111">
        <v>175.33</v>
      </c>
      <c r="C177" s="112" t="s">
        <v>252</v>
      </c>
      <c r="D177" s="112" t="s">
        <v>202</v>
      </c>
      <c r="E177" s="113" t="s">
        <v>170</v>
      </c>
      <c r="F177" s="1"/>
    </row>
    <row r="178" spans="1:6" s="89" customFormat="1" x14ac:dyDescent="0.2">
      <c r="A178" s="156">
        <v>43635</v>
      </c>
      <c r="B178" s="111">
        <v>33.909999999999997</v>
      </c>
      <c r="C178" s="112" t="s">
        <v>252</v>
      </c>
      <c r="D178" s="112" t="s">
        <v>196</v>
      </c>
      <c r="E178" s="113" t="s">
        <v>170</v>
      </c>
      <c r="F178" s="1"/>
    </row>
    <row r="179" spans="1:6" s="89" customFormat="1" x14ac:dyDescent="0.2">
      <c r="A179" s="156" t="s">
        <v>250</v>
      </c>
      <c r="B179" s="111">
        <f>28.61+34</f>
        <v>62.61</v>
      </c>
      <c r="C179" s="112" t="s">
        <v>252</v>
      </c>
      <c r="D179" s="112" t="s">
        <v>173</v>
      </c>
      <c r="E179" s="113" t="s">
        <v>170</v>
      </c>
      <c r="F179" s="1"/>
    </row>
    <row r="180" spans="1:6" s="89" customFormat="1" x14ac:dyDescent="0.2">
      <c r="A180" s="156" t="s">
        <v>251</v>
      </c>
      <c r="B180" s="111">
        <v>311.60000000000002</v>
      </c>
      <c r="C180" s="112" t="s">
        <v>318</v>
      </c>
      <c r="D180" s="112" t="s">
        <v>183</v>
      </c>
      <c r="E180" s="113" t="s">
        <v>171</v>
      </c>
      <c r="F180" s="1"/>
    </row>
    <row r="181" spans="1:6" s="89" customFormat="1" x14ac:dyDescent="0.2">
      <c r="A181" s="156" t="s">
        <v>251</v>
      </c>
      <c r="B181" s="111">
        <v>150.33000000000001</v>
      </c>
      <c r="C181" s="112" t="s">
        <v>253</v>
      </c>
      <c r="D181" s="112" t="s">
        <v>202</v>
      </c>
      <c r="E181" s="113" t="s">
        <v>171</v>
      </c>
      <c r="F181" s="1"/>
    </row>
    <row r="182" spans="1:6" s="89" customFormat="1" hidden="1" x14ac:dyDescent="0.2">
      <c r="A182" s="114"/>
      <c r="B182" s="111"/>
      <c r="C182" s="112"/>
      <c r="D182" s="112"/>
      <c r="E182" s="113"/>
      <c r="F182" s="1"/>
    </row>
    <row r="183" spans="1:6" ht="19.5" customHeight="1" x14ac:dyDescent="0.2">
      <c r="A183" s="128" t="s">
        <v>155</v>
      </c>
      <c r="B183" s="129">
        <f>SUM(B37:B182)</f>
        <v>29122.420000000006</v>
      </c>
      <c r="C183" s="130" t="str">
        <f>IF(SUBTOTAL(3,B37:B182)=SUBTOTAL(103,B37:B182),'Summary and sign-off'!$A$47,'Summary and sign-off'!$A$48)</f>
        <v>Check - there are no hidden rows with data</v>
      </c>
      <c r="D183" s="164" t="str">
        <f>IF('Summary and sign-off'!F55='Summary and sign-off'!F53,'Summary and sign-off'!A50,'Summary and sign-off'!A49)</f>
        <v>Check - each entry provides sufficient information</v>
      </c>
      <c r="E183" s="164"/>
      <c r="F183" s="48"/>
    </row>
    <row r="184" spans="1:6" ht="10.5" customHeight="1" x14ac:dyDescent="0.2">
      <c r="A184" s="29"/>
      <c r="B184" s="24"/>
      <c r="C184" s="29"/>
      <c r="D184" s="29"/>
      <c r="E184" s="29"/>
      <c r="F184" s="29"/>
    </row>
    <row r="185" spans="1:6" ht="24.75" customHeight="1" x14ac:dyDescent="0.2">
      <c r="A185" s="165" t="s">
        <v>44</v>
      </c>
      <c r="B185" s="165"/>
      <c r="C185" s="165"/>
      <c r="D185" s="165"/>
      <c r="E185" s="165"/>
      <c r="F185" s="48"/>
    </row>
    <row r="186" spans="1:6" ht="27" customHeight="1" x14ac:dyDescent="0.2">
      <c r="A186" s="37" t="s">
        <v>49</v>
      </c>
      <c r="B186" s="37" t="s">
        <v>31</v>
      </c>
      <c r="C186" s="37" t="s">
        <v>147</v>
      </c>
      <c r="D186" s="37" t="s">
        <v>88</v>
      </c>
      <c r="E186" s="37" t="s">
        <v>76</v>
      </c>
      <c r="F186" s="51"/>
    </row>
    <row r="187" spans="1:6" s="89" customFormat="1" hidden="1" x14ac:dyDescent="0.2">
      <c r="A187" s="114"/>
      <c r="B187" s="111"/>
      <c r="C187" s="112"/>
      <c r="D187" s="112"/>
      <c r="E187" s="113"/>
      <c r="F187" s="1"/>
    </row>
    <row r="188" spans="1:6" s="89" customFormat="1" x14ac:dyDescent="0.2">
      <c r="A188" s="114">
        <v>43294</v>
      </c>
      <c r="B188" s="111">
        <v>8.7799999999999994</v>
      </c>
      <c r="C188" s="112" t="s">
        <v>192</v>
      </c>
      <c r="D188" s="112" t="s">
        <v>189</v>
      </c>
      <c r="E188" s="113" t="s">
        <v>193</v>
      </c>
      <c r="F188" s="1"/>
    </row>
    <row r="189" spans="1:6" s="89" customFormat="1" x14ac:dyDescent="0.2">
      <c r="A189" s="114">
        <v>43294</v>
      </c>
      <c r="B189" s="111">
        <v>23.48</v>
      </c>
      <c r="C189" s="112" t="s">
        <v>192</v>
      </c>
      <c r="D189" s="112" t="s">
        <v>196</v>
      </c>
      <c r="E189" s="113" t="s">
        <v>180</v>
      </c>
      <c r="F189" s="1"/>
    </row>
    <row r="190" spans="1:6" s="89" customFormat="1" x14ac:dyDescent="0.2">
      <c r="A190" s="114">
        <v>43389</v>
      </c>
      <c r="B190" s="111">
        <v>28.35</v>
      </c>
      <c r="C190" s="112" t="s">
        <v>262</v>
      </c>
      <c r="D190" s="112" t="s">
        <v>263</v>
      </c>
      <c r="E190" s="113" t="s">
        <v>180</v>
      </c>
      <c r="F190" s="1"/>
    </row>
    <row r="191" spans="1:6" s="89" customFormat="1" x14ac:dyDescent="0.2">
      <c r="A191" s="156">
        <v>43402</v>
      </c>
      <c r="B191" s="111">
        <v>173.91</v>
      </c>
      <c r="C191" s="112" t="s">
        <v>254</v>
      </c>
      <c r="D191" s="112" t="s">
        <v>255</v>
      </c>
      <c r="E191" s="113" t="s">
        <v>180</v>
      </c>
      <c r="F191" s="1"/>
    </row>
    <row r="192" spans="1:6" s="89" customFormat="1" hidden="1" x14ac:dyDescent="0.2">
      <c r="A192" s="114"/>
      <c r="B192" s="111"/>
      <c r="C192" s="112"/>
      <c r="D192" s="112"/>
      <c r="E192" s="113"/>
      <c r="F192" s="1"/>
    </row>
    <row r="193" spans="1:6" ht="19.5" customHeight="1" x14ac:dyDescent="0.2">
      <c r="A193" s="128" t="s">
        <v>152</v>
      </c>
      <c r="B193" s="129">
        <f>SUM(B187:B192)</f>
        <v>234.51999999999998</v>
      </c>
      <c r="C193" s="130" t="str">
        <f>IF(SUBTOTAL(3,B187:B192)=SUBTOTAL(103,B187:B192),'Summary and sign-off'!$A$47,'Summary and sign-off'!$A$48)</f>
        <v>Check - there are no hidden rows with data</v>
      </c>
      <c r="D193" s="164" t="str">
        <f>IF('Summary and sign-off'!F56='Summary and sign-off'!F53,'Summary and sign-off'!A50,'Summary and sign-off'!A49)</f>
        <v>Check - each entry provides sufficient information</v>
      </c>
      <c r="E193" s="164"/>
      <c r="F193" s="48"/>
    </row>
    <row r="194" spans="1:6" ht="10.5" customHeight="1" x14ac:dyDescent="0.2">
      <c r="A194" s="29"/>
      <c r="B194" s="97"/>
      <c r="C194" s="24"/>
      <c r="D194" s="29"/>
      <c r="E194" s="29"/>
      <c r="F194" s="29"/>
    </row>
    <row r="195" spans="1:6" ht="34.5" customHeight="1" x14ac:dyDescent="0.2">
      <c r="A195" s="52" t="s">
        <v>1</v>
      </c>
      <c r="B195" s="98">
        <f>B33+B183+B193</f>
        <v>37748.530000000006</v>
      </c>
      <c r="C195" s="53"/>
      <c r="D195" s="53"/>
      <c r="E195" s="53"/>
      <c r="F195" s="28"/>
    </row>
    <row r="196" spans="1:6" x14ac:dyDescent="0.2">
      <c r="A196" s="29"/>
      <c r="B196" s="24"/>
      <c r="C196" s="29"/>
      <c r="D196" s="29"/>
      <c r="E196" s="29"/>
      <c r="F196" s="29"/>
    </row>
    <row r="197" spans="1:6" x14ac:dyDescent="0.2">
      <c r="A197" s="54" t="s">
        <v>8</v>
      </c>
      <c r="B197" s="27"/>
      <c r="C197" s="28"/>
      <c r="D197" s="28"/>
      <c r="E197" s="28"/>
      <c r="F197" s="29"/>
    </row>
    <row r="198" spans="1:6" ht="12.6" customHeight="1" x14ac:dyDescent="0.2">
      <c r="A198" s="25" t="s">
        <v>50</v>
      </c>
      <c r="B198" s="55"/>
      <c r="C198" s="55"/>
      <c r="D198" s="34"/>
      <c r="E198" s="34"/>
      <c r="F198" s="29"/>
    </row>
    <row r="199" spans="1:6" ht="12.95" customHeight="1" x14ac:dyDescent="0.2">
      <c r="A199" s="33" t="s">
        <v>156</v>
      </c>
      <c r="B199" s="29"/>
      <c r="C199" s="34"/>
      <c r="D199" s="29"/>
      <c r="E199" s="34"/>
      <c r="F199" s="29"/>
    </row>
    <row r="200" spans="1:6" x14ac:dyDescent="0.2">
      <c r="A200" s="33" t="s">
        <v>149</v>
      </c>
      <c r="B200" s="34"/>
      <c r="C200" s="34"/>
      <c r="D200" s="34"/>
      <c r="E200" s="56"/>
      <c r="F200" s="48"/>
    </row>
    <row r="201" spans="1:6" x14ac:dyDescent="0.2">
      <c r="A201" s="25" t="s">
        <v>157</v>
      </c>
      <c r="B201" s="27"/>
      <c r="C201" s="28"/>
      <c r="D201" s="28"/>
      <c r="E201" s="28"/>
      <c r="F201" s="29"/>
    </row>
    <row r="202" spans="1:6" ht="12.95" customHeight="1" x14ac:dyDescent="0.2">
      <c r="A202" s="33" t="s">
        <v>148</v>
      </c>
      <c r="B202" s="29"/>
      <c r="C202" s="34"/>
      <c r="D202" s="29"/>
      <c r="E202" s="34"/>
      <c r="F202" s="29"/>
    </row>
    <row r="203" spans="1:6" x14ac:dyDescent="0.2">
      <c r="A203" s="33" t="s">
        <v>153</v>
      </c>
      <c r="B203" s="34"/>
      <c r="C203" s="34"/>
      <c r="D203" s="34"/>
      <c r="E203" s="56"/>
      <c r="F203" s="48"/>
    </row>
    <row r="204" spans="1:6" x14ac:dyDescent="0.2">
      <c r="A204" s="38" t="s">
        <v>165</v>
      </c>
      <c r="B204" s="38"/>
      <c r="C204" s="38"/>
      <c r="D204" s="38"/>
      <c r="E204" s="56"/>
      <c r="F204" s="48"/>
    </row>
    <row r="205" spans="1:6" x14ac:dyDescent="0.2">
      <c r="A205" s="42"/>
      <c r="B205" s="29"/>
      <c r="C205" s="29"/>
      <c r="D205" s="29"/>
      <c r="E205" s="48"/>
      <c r="F205" s="48"/>
    </row>
    <row r="206" spans="1:6" hidden="1" x14ac:dyDescent="0.2">
      <c r="A206" s="42"/>
      <c r="B206" s="29"/>
      <c r="C206" s="29"/>
      <c r="D206" s="29"/>
      <c r="E206" s="48"/>
      <c r="F206" s="48"/>
    </row>
    <row r="207" spans="1:6" hidden="1" x14ac:dyDescent="0.2"/>
    <row r="208" spans="1:6" hidden="1" x14ac:dyDescent="0.2"/>
    <row r="209" spans="1:6" hidden="1" x14ac:dyDescent="0.2"/>
    <row r="210" spans="1:6" hidden="1" x14ac:dyDescent="0.2"/>
    <row r="211" spans="1:6" ht="12.75" hidden="1" customHeight="1" x14ac:dyDescent="0.2"/>
    <row r="212" spans="1:6" hidden="1" x14ac:dyDescent="0.2"/>
    <row r="213" spans="1:6" hidden="1" x14ac:dyDescent="0.2"/>
    <row r="214" spans="1:6" hidden="1" x14ac:dyDescent="0.2">
      <c r="A214" s="57"/>
      <c r="B214" s="48"/>
      <c r="C214" s="48"/>
      <c r="D214" s="48"/>
      <c r="E214" s="48"/>
      <c r="F214" s="48"/>
    </row>
    <row r="215" spans="1:6" hidden="1" x14ac:dyDescent="0.2">
      <c r="A215" s="57"/>
      <c r="B215" s="48"/>
      <c r="C215" s="48"/>
      <c r="D215" s="48"/>
      <c r="E215" s="48"/>
      <c r="F215" s="48"/>
    </row>
    <row r="216" spans="1:6" hidden="1" x14ac:dyDescent="0.2">
      <c r="A216" s="57"/>
      <c r="B216" s="48"/>
      <c r="C216" s="48"/>
      <c r="D216" s="48"/>
      <c r="E216" s="48"/>
      <c r="F216" s="48"/>
    </row>
    <row r="217" spans="1:6" hidden="1" x14ac:dyDescent="0.2">
      <c r="A217" s="57"/>
      <c r="B217" s="48"/>
      <c r="C217" s="48"/>
      <c r="D217" s="48"/>
      <c r="E217" s="48"/>
      <c r="F217" s="48"/>
    </row>
    <row r="218" spans="1:6" hidden="1" x14ac:dyDescent="0.2">
      <c r="A218" s="57"/>
      <c r="B218" s="48"/>
      <c r="C218" s="48"/>
      <c r="D218" s="48"/>
      <c r="E218" s="48"/>
      <c r="F218" s="48"/>
    </row>
    <row r="219" spans="1:6" hidden="1" x14ac:dyDescent="0.2"/>
    <row r="220" spans="1:6" hidden="1" x14ac:dyDescent="0.2"/>
    <row r="221" spans="1:6" hidden="1" x14ac:dyDescent="0.2"/>
    <row r="222" spans="1:6" hidden="1" x14ac:dyDescent="0.2"/>
    <row r="223" spans="1:6" hidden="1" x14ac:dyDescent="0.2"/>
    <row r="224" spans="1:6" hidden="1" x14ac:dyDescent="0.2"/>
    <row r="225" hidden="1"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sheetData>
  <sheetProtection sheet="1" formatCells="0" formatRows="0" insertColumns="0" insertRows="0" deleteRows="0"/>
  <mergeCells count="15">
    <mergeCell ref="B7:E7"/>
    <mergeCell ref="B5:E5"/>
    <mergeCell ref="D193:E193"/>
    <mergeCell ref="A1:E1"/>
    <mergeCell ref="A35:E35"/>
    <mergeCell ref="A185:E185"/>
    <mergeCell ref="B2:E2"/>
    <mergeCell ref="B3:E3"/>
    <mergeCell ref="B4:E4"/>
    <mergeCell ref="A8:E8"/>
    <mergeCell ref="A9:E9"/>
    <mergeCell ref="B6:E6"/>
    <mergeCell ref="D33:E33"/>
    <mergeCell ref="D183:E18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32 A187:A192 A37:A182">
      <formula1>$B$4</formula1>
      <formula2>$B$5</formula2>
    </dataValidation>
    <dataValidation allowBlank="1" showInputMessage="1" showErrorMessage="1" prompt="Insert additional rows as needed:_x000a_- 'right click' on a row number (left of screen)_x000a_- select 'Insert' (this will insert a row above it)" sqref="A186 A36 A11"/>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B12:B32 B187:B192 B37:B182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46" sqref="C4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0" t="s">
        <v>6</v>
      </c>
      <c r="B1" s="160"/>
      <c r="C1" s="160"/>
      <c r="D1" s="160"/>
      <c r="E1" s="160"/>
      <c r="F1" s="40"/>
    </row>
    <row r="2" spans="1:6" ht="21" customHeight="1" x14ac:dyDescent="0.2">
      <c r="A2" s="4" t="s">
        <v>2</v>
      </c>
      <c r="B2" s="163" t="str">
        <f>'Summary and sign-off'!B2:F2</f>
        <v>Southern District Health Board</v>
      </c>
      <c r="C2" s="163"/>
      <c r="D2" s="163"/>
      <c r="E2" s="163"/>
      <c r="F2" s="40"/>
    </row>
    <row r="3" spans="1:6" ht="21" customHeight="1" x14ac:dyDescent="0.2">
      <c r="A3" s="4" t="s">
        <v>3</v>
      </c>
      <c r="B3" s="163" t="str">
        <f>'Summary and sign-off'!B3:F3</f>
        <v>Chris Fleming</v>
      </c>
      <c r="C3" s="163"/>
      <c r="D3" s="163"/>
      <c r="E3" s="163"/>
      <c r="F3" s="40"/>
    </row>
    <row r="4" spans="1:6" ht="21" customHeight="1" x14ac:dyDescent="0.2">
      <c r="A4" s="4" t="s">
        <v>77</v>
      </c>
      <c r="B4" s="163">
        <f>'Summary and sign-off'!B4:F4</f>
        <v>43282</v>
      </c>
      <c r="C4" s="163"/>
      <c r="D4" s="163"/>
      <c r="E4" s="163"/>
      <c r="F4" s="40"/>
    </row>
    <row r="5" spans="1:6" ht="21" customHeight="1" x14ac:dyDescent="0.2">
      <c r="A5" s="4" t="s">
        <v>78</v>
      </c>
      <c r="B5" s="163">
        <f>'Summary and sign-off'!B5:F5</f>
        <v>43646</v>
      </c>
      <c r="C5" s="163"/>
      <c r="D5" s="163"/>
      <c r="E5" s="163"/>
      <c r="F5" s="40"/>
    </row>
    <row r="6" spans="1:6" ht="21" customHeight="1" x14ac:dyDescent="0.2">
      <c r="A6" s="4" t="s">
        <v>29</v>
      </c>
      <c r="B6" s="158" t="s">
        <v>28</v>
      </c>
      <c r="C6" s="158"/>
      <c r="D6" s="158"/>
      <c r="E6" s="158"/>
      <c r="F6" s="40"/>
    </row>
    <row r="7" spans="1:6" ht="21" customHeight="1" x14ac:dyDescent="0.2">
      <c r="A7" s="4" t="s">
        <v>104</v>
      </c>
      <c r="B7" s="158" t="s">
        <v>116</v>
      </c>
      <c r="C7" s="158"/>
      <c r="D7" s="158"/>
      <c r="E7" s="158"/>
      <c r="F7" s="40"/>
    </row>
    <row r="8" spans="1:6" ht="35.25" customHeight="1" x14ac:dyDescent="0.25">
      <c r="A8" s="173" t="s">
        <v>158</v>
      </c>
      <c r="B8" s="173"/>
      <c r="C8" s="174"/>
      <c r="D8" s="174"/>
      <c r="E8" s="174"/>
      <c r="F8" s="44"/>
    </row>
    <row r="9" spans="1:6" ht="35.25" customHeight="1" x14ac:dyDescent="0.25">
      <c r="A9" s="171" t="s">
        <v>135</v>
      </c>
      <c r="B9" s="172"/>
      <c r="C9" s="172"/>
      <c r="D9" s="172"/>
      <c r="E9" s="172"/>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t="s">
        <v>326</v>
      </c>
      <c r="B13" s="111"/>
      <c r="C13" s="116"/>
      <c r="D13" s="116"/>
      <c r="E13" s="117"/>
      <c r="F13" s="2"/>
    </row>
    <row r="14" spans="1:6" s="89" customFormat="1" x14ac:dyDescent="0.2">
      <c r="A14" s="114"/>
      <c r="B14" s="111"/>
      <c r="C14" s="116"/>
      <c r="D14" s="116"/>
      <c r="E14" s="117"/>
      <c r="F14" s="2"/>
    </row>
    <row r="15" spans="1:6" s="89" customFormat="1" ht="11.25" hidden="1" customHeight="1" x14ac:dyDescent="0.2">
      <c r="A15" s="110"/>
      <c r="B15" s="111"/>
      <c r="C15" s="116"/>
      <c r="D15" s="116"/>
      <c r="E15" s="117"/>
      <c r="F15" s="2"/>
    </row>
    <row r="16" spans="1:6" ht="34.5" customHeight="1" x14ac:dyDescent="0.2">
      <c r="A16" s="90" t="s">
        <v>129</v>
      </c>
      <c r="B16" s="102">
        <f>SUM(B11:B15)</f>
        <v>0</v>
      </c>
      <c r="C16" s="123" t="str">
        <f>IF(SUBTOTAL(3,B11:B15)=SUBTOTAL(103,B11:B15),'Summary and sign-off'!$A$47,'Summary and sign-off'!$A$48)</f>
        <v>Check - there are no hidden rows with data</v>
      </c>
      <c r="D16" s="164" t="str">
        <f>IF('Summary and sign-off'!F57='Summary and sign-off'!F53,'Summary and sign-off'!A50,'Summary and sign-off'!A49)</f>
        <v>Check - each entry provides sufficient information</v>
      </c>
      <c r="E16" s="164"/>
      <c r="F16" s="2"/>
    </row>
    <row r="17" spans="1:6" x14ac:dyDescent="0.2">
      <c r="A17" s="23"/>
      <c r="B17" s="22"/>
      <c r="C17" s="22"/>
      <c r="D17" s="22"/>
      <c r="E17" s="22"/>
      <c r="F17" s="40"/>
    </row>
    <row r="18" spans="1:6" x14ac:dyDescent="0.2">
      <c r="A18" s="23" t="s">
        <v>8</v>
      </c>
      <c r="B18" s="24"/>
      <c r="C18" s="29"/>
      <c r="D18" s="22"/>
      <c r="E18" s="22"/>
      <c r="F18" s="40"/>
    </row>
    <row r="19" spans="1:6" ht="12.75" customHeight="1" x14ac:dyDescent="0.2">
      <c r="A19" s="25" t="s">
        <v>160</v>
      </c>
      <c r="B19" s="25"/>
      <c r="C19" s="25"/>
      <c r="D19" s="25"/>
      <c r="E19" s="25"/>
      <c r="F19" s="40"/>
    </row>
    <row r="20" spans="1:6" x14ac:dyDescent="0.2">
      <c r="A20" s="25" t="s">
        <v>159</v>
      </c>
      <c r="B20" s="33"/>
      <c r="C20" s="45"/>
      <c r="D20" s="46"/>
      <c r="E20" s="46"/>
      <c r="F20" s="40"/>
    </row>
    <row r="21" spans="1:6" x14ac:dyDescent="0.2">
      <c r="A21" s="25" t="s">
        <v>157</v>
      </c>
      <c r="B21" s="27"/>
      <c r="C21" s="28"/>
      <c r="D21" s="28"/>
      <c r="E21" s="28"/>
      <c r="F21" s="29"/>
    </row>
    <row r="22" spans="1:6" x14ac:dyDescent="0.2">
      <c r="A22" s="33" t="s">
        <v>13</v>
      </c>
      <c r="B22" s="33"/>
      <c r="C22" s="45"/>
      <c r="D22" s="45"/>
      <c r="E22" s="45"/>
      <c r="F22" s="40"/>
    </row>
    <row r="23" spans="1:6" ht="12.75" customHeight="1" x14ac:dyDescent="0.2">
      <c r="A23" s="33" t="s">
        <v>166</v>
      </c>
      <c r="B23" s="33"/>
      <c r="C23" s="47"/>
      <c r="D23" s="47"/>
      <c r="E23" s="35"/>
      <c r="F23" s="40"/>
    </row>
    <row r="24" spans="1:6" x14ac:dyDescent="0.2">
      <c r="A24" s="22"/>
      <c r="B24" s="22"/>
      <c r="C24" s="22"/>
      <c r="D24" s="22"/>
      <c r="E24" s="22"/>
      <c r="F24" s="40"/>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4"/>
  <sheetViews>
    <sheetView zoomScaleNormal="100" workbookViewId="0">
      <selection activeCell="B19" sqref="B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0" t="s">
        <v>6</v>
      </c>
      <c r="B1" s="160"/>
      <c r="C1" s="160"/>
      <c r="D1" s="160"/>
      <c r="E1" s="160"/>
      <c r="F1" s="26"/>
    </row>
    <row r="2" spans="1:6" ht="21" customHeight="1" x14ac:dyDescent="0.2">
      <c r="A2" s="4" t="s">
        <v>2</v>
      </c>
      <c r="B2" s="163" t="str">
        <f>'Summary and sign-off'!B2:F2</f>
        <v>Southern District Health Board</v>
      </c>
      <c r="C2" s="163"/>
      <c r="D2" s="163"/>
      <c r="E2" s="163"/>
      <c r="F2" s="26"/>
    </row>
    <row r="3" spans="1:6" ht="21" customHeight="1" x14ac:dyDescent="0.2">
      <c r="A3" s="4" t="s">
        <v>3</v>
      </c>
      <c r="B3" s="163" t="str">
        <f>'Summary and sign-off'!B3:F3</f>
        <v>Chris Fleming</v>
      </c>
      <c r="C3" s="163"/>
      <c r="D3" s="163"/>
      <c r="E3" s="163"/>
      <c r="F3" s="26"/>
    </row>
    <row r="4" spans="1:6" ht="21" customHeight="1" x14ac:dyDescent="0.2">
      <c r="A4" s="4" t="s">
        <v>77</v>
      </c>
      <c r="B4" s="163">
        <f>'Summary and sign-off'!B4:F4</f>
        <v>43282</v>
      </c>
      <c r="C4" s="163"/>
      <c r="D4" s="163"/>
      <c r="E4" s="163"/>
      <c r="F4" s="26"/>
    </row>
    <row r="5" spans="1:6" ht="21" customHeight="1" x14ac:dyDescent="0.2">
      <c r="A5" s="4" t="s">
        <v>78</v>
      </c>
      <c r="B5" s="163">
        <f>'Summary and sign-off'!B5:F5</f>
        <v>43646</v>
      </c>
      <c r="C5" s="163"/>
      <c r="D5" s="163"/>
      <c r="E5" s="163"/>
      <c r="F5" s="26"/>
    </row>
    <row r="6" spans="1:6" ht="21" customHeight="1" x14ac:dyDescent="0.2">
      <c r="A6" s="4" t="s">
        <v>29</v>
      </c>
      <c r="B6" s="158" t="s">
        <v>28</v>
      </c>
      <c r="C6" s="158"/>
      <c r="D6" s="158"/>
      <c r="E6" s="158"/>
      <c r="F6" s="36"/>
    </row>
    <row r="7" spans="1:6" ht="21" customHeight="1" x14ac:dyDescent="0.2">
      <c r="A7" s="4" t="s">
        <v>104</v>
      </c>
      <c r="B7" s="158" t="s">
        <v>116</v>
      </c>
      <c r="C7" s="158"/>
      <c r="D7" s="158"/>
      <c r="E7" s="158"/>
      <c r="F7" s="36"/>
    </row>
    <row r="8" spans="1:6" ht="35.25" customHeight="1" x14ac:dyDescent="0.2">
      <c r="A8" s="167" t="s">
        <v>0</v>
      </c>
      <c r="B8" s="167"/>
      <c r="C8" s="174"/>
      <c r="D8" s="174"/>
      <c r="E8" s="174"/>
      <c r="F8" s="26"/>
    </row>
    <row r="9" spans="1:6" ht="35.25" customHeight="1" x14ac:dyDescent="0.2">
      <c r="A9" s="175" t="s">
        <v>127</v>
      </c>
      <c r="B9" s="176"/>
      <c r="C9" s="176"/>
      <c r="D9" s="176"/>
      <c r="E9" s="176"/>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56" t="s">
        <v>284</v>
      </c>
      <c r="B12" s="111">
        <v>943.48</v>
      </c>
      <c r="C12" s="116" t="s">
        <v>283</v>
      </c>
      <c r="D12" s="116" t="s">
        <v>282</v>
      </c>
      <c r="E12" s="117" t="s">
        <v>180</v>
      </c>
      <c r="F12" s="3"/>
    </row>
    <row r="13" spans="1:6" s="89" customFormat="1" x14ac:dyDescent="0.2">
      <c r="A13" s="156" t="s">
        <v>322</v>
      </c>
      <c r="B13" s="111">
        <v>5776.1</v>
      </c>
      <c r="C13" s="112" t="s">
        <v>279</v>
      </c>
      <c r="D13" s="116" t="s">
        <v>277</v>
      </c>
      <c r="E13" s="117" t="s">
        <v>230</v>
      </c>
      <c r="F13" s="3"/>
    </row>
    <row r="14" spans="1:6" s="89" customFormat="1" x14ac:dyDescent="0.2">
      <c r="A14" s="156">
        <v>43557</v>
      </c>
      <c r="B14" s="111">
        <v>2306</v>
      </c>
      <c r="C14" s="116" t="s">
        <v>319</v>
      </c>
      <c r="D14" s="116" t="s">
        <v>320</v>
      </c>
      <c r="E14" s="117" t="s">
        <v>180</v>
      </c>
      <c r="F14" s="3"/>
    </row>
    <row r="15" spans="1:6" s="89" customFormat="1" x14ac:dyDescent="0.2">
      <c r="A15" s="156">
        <v>43566</v>
      </c>
      <c r="B15" s="111">
        <v>10133.33</v>
      </c>
      <c r="C15" s="116" t="s">
        <v>323</v>
      </c>
      <c r="D15" s="116" t="s">
        <v>324</v>
      </c>
      <c r="E15" s="117" t="s">
        <v>321</v>
      </c>
      <c r="F15" s="3"/>
    </row>
    <row r="16" spans="1:6" s="89" customFormat="1" x14ac:dyDescent="0.2">
      <c r="A16" s="156">
        <v>43613</v>
      </c>
      <c r="B16" s="111">
        <v>267.83</v>
      </c>
      <c r="C16" s="116" t="s">
        <v>276</v>
      </c>
      <c r="D16" s="116" t="s">
        <v>277</v>
      </c>
      <c r="E16" s="117" t="s">
        <v>278</v>
      </c>
      <c r="F16" s="3"/>
    </row>
    <row r="17" spans="1:6" s="89" customFormat="1" x14ac:dyDescent="0.2">
      <c r="A17" s="156">
        <v>43644</v>
      </c>
      <c r="B17" s="111">
        <v>693.91</v>
      </c>
      <c r="C17" s="116" t="s">
        <v>280</v>
      </c>
      <c r="D17" s="116" t="s">
        <v>324</v>
      </c>
      <c r="E17" s="117" t="s">
        <v>281</v>
      </c>
      <c r="F17" s="3"/>
    </row>
    <row r="18" spans="1:6" s="89" customFormat="1" hidden="1" x14ac:dyDescent="0.2">
      <c r="A18" s="110"/>
      <c r="B18" s="111"/>
      <c r="C18" s="116"/>
      <c r="D18" s="116"/>
      <c r="E18" s="117"/>
      <c r="F18" s="3"/>
    </row>
    <row r="19" spans="1:6" ht="34.5" customHeight="1" x14ac:dyDescent="0.2">
      <c r="A19" s="90" t="s">
        <v>136</v>
      </c>
      <c r="B19" s="102">
        <f>SUM(B11:B18)</f>
        <v>20120.650000000001</v>
      </c>
      <c r="C19" s="123" t="str">
        <f>IF(SUBTOTAL(3,B11:B18)=SUBTOTAL(103,B11:B18),'Summary and sign-off'!$A$47,'Summary and sign-off'!$A$48)</f>
        <v>Check - there are no hidden rows with data</v>
      </c>
      <c r="D19" s="164" t="str">
        <f>IF('Summary and sign-off'!F58='Summary and sign-off'!F53,'Summary and sign-off'!A50,'Summary and sign-off'!A49)</f>
        <v>Check - each entry provides sufficient information</v>
      </c>
      <c r="E19" s="164"/>
      <c r="F19" s="39"/>
    </row>
    <row r="20" spans="1:6" ht="14.1" customHeight="1" x14ac:dyDescent="0.2">
      <c r="A20" s="40"/>
      <c r="B20" s="29"/>
      <c r="C20" s="22"/>
      <c r="D20" s="22"/>
      <c r="E20" s="22"/>
      <c r="F20" s="26"/>
    </row>
    <row r="21" spans="1:6" x14ac:dyDescent="0.2">
      <c r="A21" s="23" t="s">
        <v>7</v>
      </c>
      <c r="B21" s="22"/>
      <c r="C21" s="22"/>
      <c r="D21" s="22"/>
      <c r="E21" s="22"/>
      <c r="F21" s="26"/>
    </row>
    <row r="22" spans="1:6" ht="12.6" customHeight="1" x14ac:dyDescent="0.2">
      <c r="A22" s="25" t="s">
        <v>50</v>
      </c>
      <c r="B22" s="22"/>
      <c r="C22" s="22"/>
      <c r="D22" s="22"/>
      <c r="E22" s="22"/>
      <c r="F22" s="26"/>
    </row>
    <row r="23" spans="1:6" x14ac:dyDescent="0.2">
      <c r="A23" s="25" t="s">
        <v>157</v>
      </c>
      <c r="B23" s="27"/>
      <c r="C23" s="28"/>
      <c r="D23" s="28"/>
      <c r="E23" s="28"/>
      <c r="F23" s="29"/>
    </row>
    <row r="24" spans="1:6" x14ac:dyDescent="0.2">
      <c r="A24" s="33" t="s">
        <v>13</v>
      </c>
      <c r="B24" s="34"/>
      <c r="C24" s="29"/>
      <c r="D24" s="29"/>
      <c r="E24" s="29"/>
      <c r="F24" s="29"/>
    </row>
    <row r="25" spans="1:6" ht="12.75" customHeight="1" x14ac:dyDescent="0.2">
      <c r="A25" s="33" t="s">
        <v>166</v>
      </c>
      <c r="B25" s="41"/>
      <c r="C25" s="35"/>
      <c r="D25" s="35"/>
      <c r="E25" s="35"/>
      <c r="F25" s="35"/>
    </row>
    <row r="26" spans="1:6" x14ac:dyDescent="0.2">
      <c r="A26" s="40"/>
      <c r="B26" s="42"/>
      <c r="C26" s="22"/>
      <c r="D26" s="22"/>
      <c r="E26" s="22"/>
      <c r="F26" s="40"/>
    </row>
    <row r="27" spans="1:6" hidden="1" x14ac:dyDescent="0.2">
      <c r="A27" s="22"/>
      <c r="B27" s="22"/>
      <c r="C27" s="22"/>
      <c r="D27" s="22"/>
      <c r="E27" s="40"/>
    </row>
    <row r="28" spans="1:6" ht="12.75" hidden="1" customHeight="1" x14ac:dyDescent="0.2"/>
    <row r="29" spans="1:6" hidden="1" x14ac:dyDescent="0.2">
      <c r="A29" s="43"/>
      <c r="B29" s="43"/>
      <c r="C29" s="43"/>
      <c r="D29" s="43"/>
      <c r="E29" s="43"/>
      <c r="F29" s="26"/>
    </row>
    <row r="30" spans="1:6" hidden="1" x14ac:dyDescent="0.2">
      <c r="A30" s="43"/>
      <c r="B30" s="43"/>
      <c r="C30" s="43"/>
      <c r="D30" s="43"/>
      <c r="E30" s="43"/>
      <c r="F30" s="26"/>
    </row>
    <row r="31" spans="1:6" hidden="1" x14ac:dyDescent="0.2">
      <c r="A31" s="43"/>
      <c r="B31" s="43"/>
      <c r="C31" s="43"/>
      <c r="D31" s="43"/>
      <c r="E31" s="43"/>
      <c r="F31" s="26"/>
    </row>
    <row r="32" spans="1:6" hidden="1" x14ac:dyDescent="0.2">
      <c r="A32" s="43"/>
      <c r="B32" s="43"/>
      <c r="C32" s="43"/>
      <c r="D32" s="43"/>
      <c r="E32" s="43"/>
      <c r="F32" s="26"/>
    </row>
    <row r="33" spans="1:6" hidden="1" x14ac:dyDescent="0.2">
      <c r="A33" s="43"/>
      <c r="B33" s="43"/>
      <c r="C33" s="43"/>
      <c r="D33" s="43"/>
      <c r="E33" s="43"/>
      <c r="F33" s="26"/>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A18" sqref="A1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60" t="s">
        <v>32</v>
      </c>
      <c r="B1" s="160"/>
      <c r="C1" s="160"/>
      <c r="D1" s="160"/>
      <c r="E1" s="160"/>
      <c r="F1" s="160"/>
    </row>
    <row r="2" spans="1:7" ht="21" customHeight="1" x14ac:dyDescent="0.2">
      <c r="A2" s="4" t="s">
        <v>2</v>
      </c>
      <c r="B2" s="163" t="str">
        <f>'Summary and sign-off'!B2:F2</f>
        <v>Southern District Health Board</v>
      </c>
      <c r="C2" s="163"/>
      <c r="D2" s="163"/>
      <c r="E2" s="163"/>
      <c r="F2" s="163"/>
    </row>
    <row r="3" spans="1:7" ht="21" customHeight="1" x14ac:dyDescent="0.2">
      <c r="A3" s="4" t="s">
        <v>3</v>
      </c>
      <c r="B3" s="163" t="str">
        <f>'Summary and sign-off'!B3:F3</f>
        <v>Chris Fleming</v>
      </c>
      <c r="C3" s="163"/>
      <c r="D3" s="163"/>
      <c r="E3" s="163"/>
      <c r="F3" s="163"/>
    </row>
    <row r="4" spans="1:7" ht="21" customHeight="1" x14ac:dyDescent="0.2">
      <c r="A4" s="4" t="s">
        <v>77</v>
      </c>
      <c r="B4" s="163">
        <f>'Summary and sign-off'!B4:F4</f>
        <v>43282</v>
      </c>
      <c r="C4" s="163"/>
      <c r="D4" s="163"/>
      <c r="E4" s="163"/>
      <c r="F4" s="163"/>
    </row>
    <row r="5" spans="1:7" ht="21" customHeight="1" x14ac:dyDescent="0.2">
      <c r="A5" s="4" t="s">
        <v>78</v>
      </c>
      <c r="B5" s="163">
        <f>'Summary and sign-off'!B5:F5</f>
        <v>43646</v>
      </c>
      <c r="C5" s="163"/>
      <c r="D5" s="163"/>
      <c r="E5" s="163"/>
      <c r="F5" s="163"/>
    </row>
    <row r="6" spans="1:7" ht="21" customHeight="1" x14ac:dyDescent="0.2">
      <c r="A6" s="4" t="s">
        <v>167</v>
      </c>
      <c r="B6" s="158" t="s">
        <v>28</v>
      </c>
      <c r="C6" s="158"/>
      <c r="D6" s="158"/>
      <c r="E6" s="158"/>
      <c r="F6" s="158"/>
    </row>
    <row r="7" spans="1:7" ht="21" customHeight="1" x14ac:dyDescent="0.2">
      <c r="A7" s="4" t="s">
        <v>104</v>
      </c>
      <c r="B7" s="158" t="s">
        <v>116</v>
      </c>
      <c r="C7" s="158"/>
      <c r="D7" s="158"/>
      <c r="E7" s="158"/>
      <c r="F7" s="158"/>
    </row>
    <row r="8" spans="1:7" ht="36" customHeight="1" x14ac:dyDescent="0.2">
      <c r="A8" s="167" t="s">
        <v>52</v>
      </c>
      <c r="B8" s="167"/>
      <c r="C8" s="167"/>
      <c r="D8" s="167"/>
      <c r="E8" s="167"/>
      <c r="F8" s="167"/>
    </row>
    <row r="9" spans="1:7" ht="36" customHeight="1" x14ac:dyDescent="0.2">
      <c r="A9" s="175" t="s">
        <v>134</v>
      </c>
      <c r="B9" s="176"/>
      <c r="C9" s="176"/>
      <c r="D9" s="176"/>
      <c r="E9" s="176"/>
      <c r="F9" s="176"/>
    </row>
    <row r="10" spans="1:7" ht="39" customHeight="1" x14ac:dyDescent="0.2">
      <c r="A10" s="18" t="s">
        <v>49</v>
      </c>
      <c r="B10" s="9" t="s">
        <v>163</v>
      </c>
      <c r="C10" s="9" t="s">
        <v>82</v>
      </c>
      <c r="D10" s="9" t="s">
        <v>33</v>
      </c>
      <c r="E10" s="9" t="s">
        <v>83</v>
      </c>
      <c r="F10" s="9" t="s">
        <v>126</v>
      </c>
    </row>
    <row r="11" spans="1:7" s="89" customFormat="1" hidden="1" x14ac:dyDescent="0.2">
      <c r="A11" s="114"/>
      <c r="B11" s="116"/>
      <c r="C11" s="122"/>
      <c r="D11" s="116"/>
      <c r="E11" s="118"/>
      <c r="F11" s="117"/>
    </row>
    <row r="12" spans="1:7" s="89" customFormat="1" x14ac:dyDescent="0.2">
      <c r="A12" s="114"/>
      <c r="B12" s="119"/>
      <c r="C12" s="122"/>
      <c r="D12" s="119"/>
      <c r="E12" s="118"/>
      <c r="F12" s="120"/>
    </row>
    <row r="13" spans="1:7" s="89" customFormat="1" x14ac:dyDescent="0.2">
      <c r="A13" s="114" t="s">
        <v>327</v>
      </c>
      <c r="B13" s="119"/>
      <c r="C13" s="122"/>
      <c r="D13" s="119"/>
      <c r="E13" s="118"/>
      <c r="F13" s="120"/>
    </row>
    <row r="14" spans="1:7" s="89" customFormat="1" x14ac:dyDescent="0.2">
      <c r="A14" s="114"/>
      <c r="B14" s="119"/>
      <c r="C14" s="122"/>
      <c r="D14" s="119"/>
      <c r="E14" s="118"/>
      <c r="F14" s="120"/>
    </row>
    <row r="15" spans="1:7" s="89" customFormat="1" hidden="1" x14ac:dyDescent="0.2">
      <c r="A15" s="114"/>
      <c r="B15" s="116"/>
      <c r="C15" s="122"/>
      <c r="D15" s="116"/>
      <c r="E15" s="118"/>
      <c r="F15" s="117"/>
    </row>
    <row r="16" spans="1:7" ht="34.5" customHeight="1" x14ac:dyDescent="0.2">
      <c r="A16" s="91" t="s">
        <v>164</v>
      </c>
      <c r="B16" s="92" t="s">
        <v>35</v>
      </c>
      <c r="C16" s="93">
        <f>C17+C18</f>
        <v>0</v>
      </c>
      <c r="D16" s="131" t="str">
        <f>IF(SUBTOTAL(3,C11:C15)=SUBTOTAL(103,C11:C15),'Summary and sign-off'!$A$47,'Summary and sign-off'!$A$48)</f>
        <v>Check - there are no hidden rows with data</v>
      </c>
      <c r="E16" s="177" t="str">
        <f>IF('Summary and sign-off'!F59='Summary and sign-off'!F53,'Summary and sign-off'!A51,'Summary and sign-off'!A49)</f>
        <v>Check - each entry provides sufficient information</v>
      </c>
      <c r="F16" s="177"/>
      <c r="G16" s="89"/>
    </row>
    <row r="17" spans="1:6" ht="25.5" customHeight="1" x14ac:dyDescent="0.25">
      <c r="A17" s="94"/>
      <c r="B17" s="95" t="s">
        <v>36</v>
      </c>
      <c r="C17" s="96">
        <f>COUNTIF(C11:C15,'Summary and sign-off'!A44)</f>
        <v>0</v>
      </c>
      <c r="D17" s="19"/>
      <c r="E17" s="20"/>
      <c r="F17" s="21"/>
    </row>
    <row r="18" spans="1:6" ht="25.5" customHeight="1" x14ac:dyDescent="0.25">
      <c r="A18" s="94"/>
      <c r="B18" s="95" t="s">
        <v>34</v>
      </c>
      <c r="C18" s="96">
        <f>COUNTIF(C11:C15,'Summary and sign-off'!A45)</f>
        <v>0</v>
      </c>
      <c r="D18" s="19"/>
      <c r="E18" s="20"/>
      <c r="F18" s="21"/>
    </row>
    <row r="19" spans="1:6" x14ac:dyDescent="0.2">
      <c r="A19" s="22"/>
      <c r="B19" s="23"/>
      <c r="C19" s="22"/>
      <c r="D19" s="24"/>
      <c r="E19" s="24"/>
      <c r="F19" s="22"/>
    </row>
    <row r="20" spans="1:6" x14ac:dyDescent="0.2">
      <c r="A20" s="23" t="s">
        <v>7</v>
      </c>
      <c r="B20" s="23"/>
      <c r="C20" s="23"/>
      <c r="D20" s="23"/>
      <c r="E20" s="23"/>
      <c r="F20" s="23"/>
    </row>
    <row r="21" spans="1:6" ht="12.6" customHeight="1" x14ac:dyDescent="0.2">
      <c r="A21" s="25" t="s">
        <v>50</v>
      </c>
      <c r="B21" s="22"/>
      <c r="C21" s="22"/>
      <c r="D21" s="22"/>
      <c r="E21" s="22"/>
      <c r="F21" s="26"/>
    </row>
    <row r="22" spans="1:6" x14ac:dyDescent="0.2">
      <c r="A22" s="25" t="s">
        <v>157</v>
      </c>
      <c r="B22" s="27"/>
      <c r="C22" s="28"/>
      <c r="D22" s="28"/>
      <c r="E22" s="28"/>
      <c r="F22" s="29"/>
    </row>
    <row r="23" spans="1:6" x14ac:dyDescent="0.2">
      <c r="A23" s="25" t="s">
        <v>15</v>
      </c>
      <c r="B23" s="30"/>
      <c r="C23" s="30"/>
      <c r="D23" s="30"/>
      <c r="E23" s="30"/>
      <c r="F23" s="30"/>
    </row>
    <row r="24" spans="1:6" ht="12.75" customHeight="1" x14ac:dyDescent="0.2">
      <c r="A24" s="25" t="s">
        <v>93</v>
      </c>
      <c r="B24" s="22"/>
      <c r="C24" s="22"/>
      <c r="D24" s="22"/>
      <c r="E24" s="22"/>
      <c r="F24" s="22"/>
    </row>
    <row r="25" spans="1:6" ht="12.95" customHeight="1" x14ac:dyDescent="0.2">
      <c r="A25" s="31" t="s">
        <v>37</v>
      </c>
      <c r="B25" s="32"/>
      <c r="C25" s="32"/>
      <c r="D25" s="32"/>
      <c r="E25" s="32"/>
      <c r="F25" s="32"/>
    </row>
    <row r="26" spans="1:6" x14ac:dyDescent="0.2">
      <c r="A26" s="33" t="s">
        <v>53</v>
      </c>
      <c r="B26" s="34"/>
      <c r="C26" s="29"/>
      <c r="D26" s="29"/>
      <c r="E26" s="29"/>
      <c r="F26" s="29"/>
    </row>
    <row r="27" spans="1:6" ht="12.75" customHeight="1" x14ac:dyDescent="0.2">
      <c r="A27" s="33" t="s">
        <v>166</v>
      </c>
      <c r="B27" s="25"/>
      <c r="C27" s="35"/>
      <c r="D27" s="35"/>
      <c r="E27" s="35"/>
      <c r="F27" s="35"/>
    </row>
    <row r="28" spans="1:6" ht="12.75" customHeight="1" x14ac:dyDescent="0.2">
      <c r="A28" s="25"/>
      <c r="B28" s="25"/>
      <c r="C28" s="35"/>
      <c r="D28" s="35"/>
      <c r="E28" s="35"/>
      <c r="F28" s="35"/>
    </row>
    <row r="29" spans="1:6" ht="12.75" hidden="1" customHeight="1" x14ac:dyDescent="0.2">
      <c r="A29" s="25"/>
      <c r="B29" s="25"/>
      <c r="C29" s="35"/>
      <c r="D29" s="35"/>
      <c r="E29" s="35"/>
      <c r="F29" s="35"/>
    </row>
    <row r="30" spans="1:6" hidden="1" x14ac:dyDescent="0.2"/>
    <row r="31" spans="1:6" hidden="1" x14ac:dyDescent="0.2"/>
    <row r="32" spans="1:6" hidden="1" x14ac:dyDescent="0.2">
      <c r="A32" s="23"/>
      <c r="B32" s="23"/>
      <c r="C32" s="23"/>
      <c r="D32" s="23"/>
      <c r="E32" s="23"/>
      <c r="F32" s="23"/>
    </row>
    <row r="33" spans="1:6" hidden="1" x14ac:dyDescent="0.2">
      <c r="A33" s="23"/>
      <c r="B33" s="23"/>
      <c r="C33" s="23"/>
      <c r="D33" s="23"/>
      <c r="E33" s="23"/>
      <c r="F33" s="23"/>
    </row>
    <row r="34" spans="1:6" hidden="1" x14ac:dyDescent="0.2">
      <c r="A34" s="23"/>
      <c r="B34" s="23"/>
      <c r="C34" s="23"/>
      <c r="D34" s="23"/>
      <c r="E34" s="23"/>
      <c r="F34" s="23"/>
    </row>
    <row r="35" spans="1:6" hidden="1" x14ac:dyDescent="0.2">
      <c r="A35" s="23"/>
      <c r="B35" s="23"/>
      <c r="C35" s="23"/>
      <c r="D35" s="23"/>
      <c r="E35" s="23"/>
      <c r="F35" s="23"/>
    </row>
    <row r="36" spans="1:6" hidden="1" x14ac:dyDescent="0.2">
      <c r="A36" s="23"/>
      <c r="B36" s="23"/>
      <c r="C36" s="23"/>
      <c r="D36" s="23"/>
      <c r="E36" s="23"/>
      <c r="F36" s="23"/>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mergeCells count="10">
    <mergeCell ref="E16:F16"/>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C11:C15</xm:sqref>
        </x14:dataValidation>
        <x14:dataValidation type="list" errorStyle="information" operator="greaterThan" allowBlank="1" showInputMessage="1" prompt="Provide specific $ value if possible">
          <x14:formula1>
            <xm:f>'Summary and sign-off'!$A$38:$A$43</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12165527-d881-4234-97f9-ee139a3f0c3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Janie Ellis</cp:lastModifiedBy>
  <cp:lastPrinted>2019-07-24T21:14:14Z</cp:lastPrinted>
  <dcterms:created xsi:type="dcterms:W3CDTF">2010-10-17T20:59:02Z</dcterms:created>
  <dcterms:modified xsi:type="dcterms:W3CDTF">2019-07-28T22:56:15Z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